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előterjesztések\2021.06.24\6_2021 ktsvetési rendelet módosítása_LB\"/>
    </mc:Choice>
  </mc:AlternateContent>
  <xr:revisionPtr revIDLastSave="0" documentId="8_{1D8E9F78-41E4-4EDD-96BD-D6E4A1F4C288}" xr6:coauthVersionLast="47" xr6:coauthVersionMax="47" xr10:uidLastSave="{00000000-0000-0000-0000-000000000000}"/>
  <bookViews>
    <workbookView xWindow="4635" yWindow="4635" windowWidth="28800" windowHeight="15435" tabRatio="918" xr2:uid="{00000000-000D-0000-FFFF-FFFF00000000}"/>
  </bookViews>
  <sheets>
    <sheet name="2020. 1.bevkiadfőössz. " sheetId="19" r:id="rId1"/>
    <sheet name="2. önkorm.bevkiad" sheetId="33" r:id="rId2"/>
    <sheet name="3. INT összes" sheetId="43" r:id="rId3"/>
    <sheet name="4. PMH" sheetId="7" r:id="rId4"/>
    <sheet name="5. BBölcs" sheetId="50" r:id="rId5"/>
    <sheet name="6.MosolyvárBölcs" sheetId="49" r:id="rId6"/>
    <sheet name="7. Pitypang" sheetId="48" r:id="rId7"/>
    <sheet name="8.Szivárvány" sheetId="47" r:id="rId8"/>
    <sheet name="9. EFMK" sheetId="46" r:id="rId9"/>
    <sheet name="10. NGVK" sheetId="45" r:id="rId10"/>
    <sheet name="11. BEK" sheetId="44" r:id="rId11"/>
    <sheet name="12. tartalékok" sheetId="11" r:id="rId12"/>
    <sheet name="13. szociális ellátások" sheetId="58" r:id="rId13"/>
    <sheet name="14. ÁHT belüli PE átadások" sheetId="13" r:id="rId14"/>
    <sheet name="15. ÁHT kívüli PE átadások" sheetId="60" r:id="rId15"/>
    <sheet name="16. hitelek" sheetId="61" r:id="rId16"/>
    <sheet name="17.eng.létszámkeret" sheetId="14" r:id="rId17"/>
    <sheet name="18. közvetett támogatások" sheetId="59" r:id="rId18"/>
    <sheet name="19.-20.mérleg" sheetId="17" r:id="rId19"/>
    <sheet name="21. többéves kötváll" sheetId="40" r:id="rId20"/>
    <sheet name="22.bev ütemterv" sheetId="34" r:id="rId21"/>
    <sheet name="23.kiadási ütemterv" sheetId="35" r:id="rId22"/>
    <sheet name="24. beruházások" sheetId="38" r:id="rId23"/>
    <sheet name="nem mell" sheetId="42" r:id="rId24"/>
    <sheet name="nem mell - Likvid terv" sheetId="57" r:id="rId25"/>
    <sheet name="nem mell - 24. COFOG" sheetId="39" r:id="rId26"/>
    <sheet name="nem mell 18.EUS pályázat" sheetId="15" r:id="rId27"/>
    <sheet name="Munka15" sheetId="56" r:id="rId28"/>
    <sheet name="Munka1" sheetId="41" r:id="rId29"/>
  </sheets>
  <definedNames>
    <definedName name="_xlnm.Print_Area" localSheetId="11">'12. tartalékok'!$B$1:$G$31</definedName>
    <definedName name="_xlnm.Print_Area" localSheetId="12">'13. szociális ellátások'!$H$1:$M$32</definedName>
    <definedName name="_xlnm.Print_Area" localSheetId="13">'14. ÁHT belüli PE átadások'!$A$1:$P$24</definedName>
    <definedName name="_xlnm.Print_Area" localSheetId="15">'16. hitelek'!$B$1:$F$12</definedName>
    <definedName name="_xlnm.Print_Area" localSheetId="18">'19.-20.mérleg'!$A$1:$BC$28</definedName>
    <definedName name="_xlnm.Print_Area" localSheetId="1">'2. önkorm.bevkiad'!$A$1:$P$63</definedName>
    <definedName name="_xlnm.Print_Area" localSheetId="0">'2020. 1.bevkiadfőössz. '!$A$1:$O$69</definedName>
    <definedName name="_xlnm.Print_Area" localSheetId="19">'21. többéves kötváll'!$A$1:$K$34</definedName>
    <definedName name="_xlnm.Print_Area" localSheetId="20">'22.bev ütemterv'!$A$1:$P$38</definedName>
    <definedName name="_xlnm.Print_Area" localSheetId="21">'23.kiadási ütemterv'!$A$1:$P$35</definedName>
    <definedName name="_xlnm.Print_Area" localSheetId="22">'24. beruházások'!$A$1:$G$30</definedName>
    <definedName name="_xlnm.Print_Area" localSheetId="2">'3. INT összes'!$A$1:$O$64</definedName>
    <definedName name="_xlnm.Print_Area" localSheetId="3">'4. PMH'!$A$1:$O$63</definedName>
    <definedName name="_xlnm.Print_Area" localSheetId="4">'5. BBölcs'!$A$1:$O$63</definedName>
    <definedName name="_xlnm.Print_Area" localSheetId="25">'nem mell - 24. COFOG'!$A$1:$AD$47</definedName>
    <definedName name="_xlnm.Print_Area" localSheetId="26">'nem mell 18.EUS pályázat'!$A$1:$E$16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5" l="1"/>
  <c r="I33" i="35" s="1"/>
  <c r="AV25" i="17"/>
  <c r="AW25" i="17"/>
  <c r="AX25" i="17"/>
  <c r="AY25" i="17"/>
  <c r="AZ25" i="17"/>
  <c r="BA13" i="17"/>
  <c r="BB13" i="17"/>
  <c r="BC13" i="17"/>
  <c r="BA14" i="17"/>
  <c r="BB14" i="17"/>
  <c r="BC14" i="17"/>
  <c r="BA16" i="17"/>
  <c r="BB16" i="17"/>
  <c r="BC16" i="17"/>
  <c r="BA17" i="17"/>
  <c r="BB17" i="17"/>
  <c r="BC17" i="17"/>
  <c r="BA18" i="17"/>
  <c r="BB18" i="17"/>
  <c r="BC18" i="17"/>
  <c r="BA19" i="17"/>
  <c r="BB19" i="17"/>
  <c r="BC19" i="17"/>
  <c r="BC12" i="17"/>
  <c r="BB12" i="17"/>
  <c r="BA12" i="17"/>
  <c r="AM14" i="17"/>
  <c r="AN14" i="17"/>
  <c r="AO14" i="17"/>
  <c r="AM15" i="17"/>
  <c r="AN15" i="17"/>
  <c r="AO15" i="17"/>
  <c r="AM19" i="17"/>
  <c r="AN19" i="17"/>
  <c r="AO19" i="17"/>
  <c r="AM20" i="17"/>
  <c r="AN20" i="17"/>
  <c r="AO20" i="17"/>
  <c r="AM21" i="17"/>
  <c r="AN21" i="17"/>
  <c r="AO21" i="17"/>
  <c r="AM22" i="17"/>
  <c r="AN22" i="17"/>
  <c r="AO22" i="17"/>
  <c r="AM8" i="17"/>
  <c r="AN8" i="17"/>
  <c r="AO8" i="17"/>
  <c r="T25" i="17"/>
  <c r="U25" i="17"/>
  <c r="V25" i="17"/>
  <c r="W25" i="17"/>
  <c r="X25" i="17"/>
  <c r="Y14" i="17"/>
  <c r="Z14" i="17"/>
  <c r="AA14" i="17"/>
  <c r="Y15" i="17"/>
  <c r="Z15" i="17"/>
  <c r="AA15" i="17"/>
  <c r="Y16" i="17"/>
  <c r="Z16" i="17"/>
  <c r="AA16" i="17"/>
  <c r="Y17" i="17"/>
  <c r="Z17" i="17"/>
  <c r="AA17" i="17"/>
  <c r="Y18" i="17"/>
  <c r="Z18" i="17"/>
  <c r="AA18" i="17"/>
  <c r="AA12" i="17"/>
  <c r="Z12" i="17"/>
  <c r="Y12" i="17"/>
  <c r="K14" i="17"/>
  <c r="L14" i="17"/>
  <c r="M14" i="17"/>
  <c r="K15" i="17"/>
  <c r="L15" i="17"/>
  <c r="M15" i="17"/>
  <c r="K19" i="17"/>
  <c r="L19" i="17"/>
  <c r="M19" i="17"/>
  <c r="Q10" i="17"/>
  <c r="Y10" i="17" s="1"/>
  <c r="F19" i="13"/>
  <c r="D18" i="13"/>
  <c r="F15" i="13"/>
  <c r="F14" i="13"/>
  <c r="F13" i="13"/>
  <c r="F12" i="13"/>
  <c r="D10" i="13"/>
  <c r="D9" i="13"/>
  <c r="D8" i="13"/>
  <c r="D7" i="13"/>
  <c r="E41" i="33"/>
  <c r="M17" i="11"/>
  <c r="I17" i="60"/>
  <c r="I6" i="60"/>
  <c r="J6" i="60"/>
  <c r="I7" i="60"/>
  <c r="J7" i="60"/>
  <c r="I8" i="60"/>
  <c r="J8" i="60"/>
  <c r="I9" i="60"/>
  <c r="J9" i="60"/>
  <c r="I10" i="60"/>
  <c r="J10" i="60"/>
  <c r="I11" i="60"/>
  <c r="J11" i="60"/>
  <c r="I12" i="60"/>
  <c r="I13" i="60"/>
  <c r="J13" i="60"/>
  <c r="I14" i="60"/>
  <c r="J14" i="60"/>
  <c r="I15" i="60"/>
  <c r="J15" i="60"/>
  <c r="I16" i="60"/>
  <c r="J16" i="60"/>
  <c r="I5" i="60"/>
  <c r="F13" i="60"/>
  <c r="F12" i="60"/>
  <c r="J12" i="60" s="1"/>
  <c r="F9" i="60"/>
  <c r="D6" i="60"/>
  <c r="D5" i="60"/>
  <c r="E17" i="60"/>
  <c r="G17" i="60"/>
  <c r="H17" i="60"/>
  <c r="C17" i="60"/>
  <c r="E41" i="44"/>
  <c r="E51" i="44"/>
  <c r="O51" i="44" s="1"/>
  <c r="E19" i="44"/>
  <c r="M39" i="44"/>
  <c r="M40" i="44"/>
  <c r="M41" i="44"/>
  <c r="N41" i="44"/>
  <c r="O41" i="44"/>
  <c r="M42" i="44"/>
  <c r="N42" i="44"/>
  <c r="O42" i="44"/>
  <c r="M43" i="44"/>
  <c r="N43" i="44"/>
  <c r="O43" i="44"/>
  <c r="M44" i="44"/>
  <c r="N44" i="44"/>
  <c r="O44" i="44"/>
  <c r="M45" i="44"/>
  <c r="N45" i="44"/>
  <c r="O45" i="44"/>
  <c r="M46" i="44"/>
  <c r="N46" i="44"/>
  <c r="O46" i="44"/>
  <c r="M47" i="44"/>
  <c r="N47" i="44"/>
  <c r="O47" i="44"/>
  <c r="M48" i="44"/>
  <c r="N48" i="44"/>
  <c r="O48" i="44"/>
  <c r="M49" i="44"/>
  <c r="N49" i="44"/>
  <c r="O49" i="44"/>
  <c r="M51" i="44"/>
  <c r="N51" i="44"/>
  <c r="M52" i="44"/>
  <c r="N52" i="44"/>
  <c r="O52" i="44"/>
  <c r="M53" i="44"/>
  <c r="N53" i="44"/>
  <c r="O53" i="44"/>
  <c r="M55" i="44"/>
  <c r="N55" i="44"/>
  <c r="O55" i="44"/>
  <c r="M56" i="44"/>
  <c r="N56" i="44"/>
  <c r="O56" i="44"/>
  <c r="M57" i="44"/>
  <c r="N57" i="44"/>
  <c r="O57" i="44"/>
  <c r="M58" i="44"/>
  <c r="N58" i="44"/>
  <c r="O58" i="44"/>
  <c r="M59" i="44"/>
  <c r="N59" i="44"/>
  <c r="O59" i="44"/>
  <c r="M60" i="44"/>
  <c r="N60" i="44"/>
  <c r="O60" i="44"/>
  <c r="M61" i="44"/>
  <c r="N61" i="44"/>
  <c r="O61" i="44"/>
  <c r="M7" i="44"/>
  <c r="N7" i="44"/>
  <c r="O7" i="44"/>
  <c r="M8" i="44"/>
  <c r="M9" i="44"/>
  <c r="N9" i="44"/>
  <c r="O9" i="44"/>
  <c r="M10" i="44"/>
  <c r="N10" i="44"/>
  <c r="O10" i="44"/>
  <c r="M11" i="44"/>
  <c r="N11" i="44"/>
  <c r="O11" i="44"/>
  <c r="M12" i="44"/>
  <c r="N12" i="44"/>
  <c r="O12" i="44"/>
  <c r="M13" i="44"/>
  <c r="N13" i="44"/>
  <c r="O13" i="44"/>
  <c r="M14" i="44"/>
  <c r="N14" i="44"/>
  <c r="O14" i="44"/>
  <c r="M15" i="44"/>
  <c r="N15" i="44"/>
  <c r="O15" i="44"/>
  <c r="M16" i="44"/>
  <c r="N16" i="44"/>
  <c r="O16" i="44"/>
  <c r="M17" i="44"/>
  <c r="N17" i="44"/>
  <c r="O17" i="44"/>
  <c r="M18" i="44"/>
  <c r="N18" i="44"/>
  <c r="O18" i="44"/>
  <c r="M19" i="44"/>
  <c r="N19" i="44"/>
  <c r="O19" i="44"/>
  <c r="M20" i="44"/>
  <c r="N20" i="44"/>
  <c r="O20" i="44"/>
  <c r="M21" i="44"/>
  <c r="N21" i="44"/>
  <c r="O21" i="44"/>
  <c r="M22" i="44"/>
  <c r="N22" i="44"/>
  <c r="O22" i="44"/>
  <c r="M24" i="44"/>
  <c r="N24" i="44"/>
  <c r="O24" i="44"/>
  <c r="M25" i="44"/>
  <c r="N25" i="44"/>
  <c r="O25" i="44"/>
  <c r="M26" i="44"/>
  <c r="N26" i="44"/>
  <c r="O26" i="44"/>
  <c r="M27" i="44"/>
  <c r="N27" i="44"/>
  <c r="O27" i="44"/>
  <c r="M29" i="44"/>
  <c r="M30" i="44"/>
  <c r="N30" i="44"/>
  <c r="O30" i="44"/>
  <c r="M31" i="44"/>
  <c r="N31" i="44"/>
  <c r="O31" i="44"/>
  <c r="M32" i="44"/>
  <c r="N32" i="44"/>
  <c r="O32" i="44"/>
  <c r="M5" i="44"/>
  <c r="O5" i="44"/>
  <c r="N5" i="44"/>
  <c r="E52" i="45"/>
  <c r="E51" i="46"/>
  <c r="E41" i="46"/>
  <c r="E41" i="7"/>
  <c r="E51" i="7"/>
  <c r="E29" i="7"/>
  <c r="K23" i="7"/>
  <c r="K34" i="7" s="1"/>
  <c r="K33" i="7"/>
  <c r="I39" i="43"/>
  <c r="I40" i="43"/>
  <c r="I41" i="43"/>
  <c r="I42" i="43"/>
  <c r="I43" i="43"/>
  <c r="I44" i="43"/>
  <c r="I45" i="43"/>
  <c r="I46" i="43"/>
  <c r="I47" i="43"/>
  <c r="I48" i="43"/>
  <c r="I49" i="43"/>
  <c r="I51" i="43"/>
  <c r="I52" i="43"/>
  <c r="I53" i="43"/>
  <c r="I55" i="43"/>
  <c r="I56" i="43"/>
  <c r="I57" i="43"/>
  <c r="I58" i="43"/>
  <c r="I59" i="43"/>
  <c r="I60" i="43"/>
  <c r="I61" i="43"/>
  <c r="E42" i="43"/>
  <c r="E43" i="43"/>
  <c r="E44" i="43"/>
  <c r="E45" i="43"/>
  <c r="E46" i="43"/>
  <c r="E47" i="43"/>
  <c r="E48" i="43"/>
  <c r="E49" i="43"/>
  <c r="E53" i="43"/>
  <c r="E55" i="43"/>
  <c r="E56" i="43"/>
  <c r="E57" i="43"/>
  <c r="E58" i="43"/>
  <c r="E59" i="43"/>
  <c r="E60" i="43"/>
  <c r="E61" i="43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4" i="43"/>
  <c r="I25" i="43"/>
  <c r="I26" i="43"/>
  <c r="I27" i="43"/>
  <c r="I28" i="43"/>
  <c r="I29" i="43"/>
  <c r="I30" i="43"/>
  <c r="I31" i="43"/>
  <c r="I32" i="43"/>
  <c r="E5" i="43"/>
  <c r="E7" i="43"/>
  <c r="E9" i="43"/>
  <c r="E10" i="43"/>
  <c r="E11" i="43"/>
  <c r="E12" i="43"/>
  <c r="E13" i="43"/>
  <c r="E14" i="43"/>
  <c r="E15" i="43"/>
  <c r="E16" i="43"/>
  <c r="E17" i="43"/>
  <c r="E18" i="43"/>
  <c r="E20" i="43"/>
  <c r="E21" i="43"/>
  <c r="E22" i="43"/>
  <c r="E24" i="43"/>
  <c r="E25" i="43"/>
  <c r="E26" i="43"/>
  <c r="E27" i="43"/>
  <c r="E30" i="43"/>
  <c r="E31" i="43"/>
  <c r="E32" i="43"/>
  <c r="F19" i="38"/>
  <c r="K11" i="38"/>
  <c r="C10" i="38"/>
  <c r="M12" i="11"/>
  <c r="O41" i="33"/>
  <c r="G33" i="33"/>
  <c r="H33" i="33"/>
  <c r="I33" i="33"/>
  <c r="J33" i="33"/>
  <c r="K33" i="33"/>
  <c r="L33" i="33"/>
  <c r="D12" i="33"/>
  <c r="E12" i="33"/>
  <c r="F12" i="33"/>
  <c r="F23" i="33" s="1"/>
  <c r="G12" i="33"/>
  <c r="G23" i="33" s="1"/>
  <c r="H12" i="33"/>
  <c r="I12" i="33"/>
  <c r="I23" i="33" s="1"/>
  <c r="I34" i="33" s="1"/>
  <c r="J12" i="33"/>
  <c r="J23" i="33" s="1"/>
  <c r="K12" i="33"/>
  <c r="K23" i="33" s="1"/>
  <c r="K34" i="33" s="1"/>
  <c r="L12" i="33"/>
  <c r="C12" i="33"/>
  <c r="H23" i="33"/>
  <c r="L23" i="33"/>
  <c r="D5" i="33"/>
  <c r="E5" i="33" s="1"/>
  <c r="O44" i="33"/>
  <c r="O48" i="33"/>
  <c r="O49" i="33"/>
  <c r="O53" i="33"/>
  <c r="I58" i="33"/>
  <c r="I62" i="33" s="1"/>
  <c r="J45" i="33"/>
  <c r="J43" i="33" s="1"/>
  <c r="J38" i="33" s="1"/>
  <c r="J54" i="33" s="1"/>
  <c r="K45" i="33"/>
  <c r="L45" i="33"/>
  <c r="L43" i="33" s="1"/>
  <c r="L38" i="33" s="1"/>
  <c r="L54" i="33" s="1"/>
  <c r="K43" i="33"/>
  <c r="K38" i="33" s="1"/>
  <c r="F58" i="33"/>
  <c r="F62" i="33" s="1"/>
  <c r="G58" i="33"/>
  <c r="G62" i="33" s="1"/>
  <c r="H58" i="33"/>
  <c r="H62" i="33" s="1"/>
  <c r="J58" i="33"/>
  <c r="J62" i="33" s="1"/>
  <c r="K58" i="33"/>
  <c r="K62" i="33" s="1"/>
  <c r="L58" i="33"/>
  <c r="L62" i="33" s="1"/>
  <c r="C58" i="33"/>
  <c r="C62" i="33" s="1"/>
  <c r="E57" i="33"/>
  <c r="E52" i="33"/>
  <c r="O52" i="33" s="1"/>
  <c r="D19" i="38"/>
  <c r="F50" i="33"/>
  <c r="F54" i="33" s="1"/>
  <c r="G50" i="33"/>
  <c r="H50" i="33"/>
  <c r="I50" i="33"/>
  <c r="J50" i="33"/>
  <c r="K50" i="33"/>
  <c r="L50" i="33"/>
  <c r="C50" i="33"/>
  <c r="F45" i="33"/>
  <c r="F43" i="33" s="1"/>
  <c r="G45" i="33"/>
  <c r="G43" i="33" s="1"/>
  <c r="G38" i="33" s="1"/>
  <c r="G54" i="33" s="1"/>
  <c r="C45" i="33"/>
  <c r="C43" i="33" s="1"/>
  <c r="C38" i="33" s="1"/>
  <c r="D11" i="33"/>
  <c r="E11" i="33" s="1"/>
  <c r="D10" i="33"/>
  <c r="D9" i="33"/>
  <c r="D8" i="33"/>
  <c r="E8" i="33" s="1"/>
  <c r="F17" i="38"/>
  <c r="F16" i="38"/>
  <c r="E14" i="38"/>
  <c r="E13" i="38"/>
  <c r="E12" i="38"/>
  <c r="E9" i="38"/>
  <c r="E8" i="38"/>
  <c r="E7" i="38"/>
  <c r="E19" i="38" l="1"/>
  <c r="F20" i="38" s="1"/>
  <c r="D17" i="60"/>
  <c r="J5" i="60"/>
  <c r="J17" i="60" s="1"/>
  <c r="E10" i="38"/>
  <c r="L11" i="38"/>
  <c r="C19" i="38"/>
  <c r="H33" i="35"/>
  <c r="O33" i="35"/>
  <c r="G33" i="35"/>
  <c r="N33" i="35"/>
  <c r="F33" i="35"/>
  <c r="M33" i="35"/>
  <c r="E33" i="35"/>
  <c r="G34" i="33"/>
  <c r="L33" i="35"/>
  <c r="D33" i="35"/>
  <c r="K33" i="35"/>
  <c r="J33" i="35"/>
  <c r="F17" i="60"/>
  <c r="L34" i="33"/>
  <c r="H34" i="33"/>
  <c r="C54" i="33"/>
  <c r="G63" i="33"/>
  <c r="K54" i="33"/>
  <c r="K63" i="33" s="1"/>
  <c r="J34" i="33"/>
  <c r="F63" i="33"/>
  <c r="J63" i="33"/>
  <c r="C63" i="33"/>
  <c r="L63" i="33"/>
  <c r="P33" i="35" l="1"/>
  <c r="L19" i="11"/>
  <c r="M19" i="11" s="1"/>
  <c r="F14" i="11"/>
  <c r="AU8" i="17" s="1"/>
  <c r="BC8" i="17" s="1"/>
  <c r="D14" i="11"/>
  <c r="L31" i="11"/>
  <c r="I16" i="38"/>
  <c r="J16" i="38" s="1"/>
  <c r="I7" i="38"/>
  <c r="J7" i="38" s="1"/>
  <c r="D25" i="11" l="1"/>
  <c r="AS8" i="17"/>
  <c r="BA8" i="17" s="1"/>
  <c r="L20" i="11"/>
  <c r="L32" i="11"/>
  <c r="I12" i="38"/>
  <c r="J12" i="38" s="1"/>
  <c r="I10" i="38"/>
  <c r="J10" i="38" s="1"/>
  <c r="L10" i="38" s="1"/>
  <c r="M10" i="38" l="1"/>
  <c r="N10" i="38"/>
  <c r="J19" i="38"/>
  <c r="I19" i="38"/>
  <c r="I21" i="38" s="1"/>
  <c r="L21" i="38" s="1"/>
  <c r="M21" i="38" s="1"/>
  <c r="N21" i="38" s="1"/>
  <c r="D29" i="50"/>
  <c r="E29" i="50" s="1"/>
  <c r="E15" i="11"/>
  <c r="E16" i="11"/>
  <c r="D48" i="33"/>
  <c r="D29" i="44" l="1"/>
  <c r="D28" i="44" s="1"/>
  <c r="D40" i="44"/>
  <c r="D39" i="44"/>
  <c r="C33" i="33"/>
  <c r="D51" i="33"/>
  <c r="L33" i="11"/>
  <c r="E21" i="11"/>
  <c r="E20" i="11"/>
  <c r="E18" i="11"/>
  <c r="E12" i="11"/>
  <c r="F12" i="11" s="1"/>
  <c r="E10" i="11"/>
  <c r="E8" i="11"/>
  <c r="D8" i="44"/>
  <c r="D51" i="45"/>
  <c r="E51" i="45" s="1"/>
  <c r="E51" i="43" s="1"/>
  <c r="D41" i="45"/>
  <c r="E41" i="45" s="1"/>
  <c r="D40" i="45"/>
  <c r="E40" i="45" s="1"/>
  <c r="D39" i="45"/>
  <c r="E39" i="45" s="1"/>
  <c r="D29" i="45"/>
  <c r="E29" i="45" s="1"/>
  <c r="D19" i="45"/>
  <c r="E19" i="45" s="1"/>
  <c r="D40" i="46"/>
  <c r="E40" i="46" s="1"/>
  <c r="D39" i="46"/>
  <c r="E39" i="46" s="1"/>
  <c r="D29" i="46"/>
  <c r="E29" i="46" s="1"/>
  <c r="D19" i="46"/>
  <c r="D51" i="47"/>
  <c r="E51" i="47" s="1"/>
  <c r="D41" i="47"/>
  <c r="E41" i="47" s="1"/>
  <c r="D40" i="47"/>
  <c r="E40" i="47" s="1"/>
  <c r="D39" i="47"/>
  <c r="D29" i="47"/>
  <c r="D19" i="47"/>
  <c r="E19" i="47" s="1"/>
  <c r="D29" i="48"/>
  <c r="E29" i="48" s="1"/>
  <c r="D51" i="48"/>
  <c r="E51" i="48" s="1"/>
  <c r="D40" i="48"/>
  <c r="E40" i="48" s="1"/>
  <c r="D39" i="48"/>
  <c r="E39" i="48" s="1"/>
  <c r="D28" i="48"/>
  <c r="E28" i="48" s="1"/>
  <c r="D19" i="48"/>
  <c r="E19" i="48" s="1"/>
  <c r="D52" i="49"/>
  <c r="E52" i="49" s="1"/>
  <c r="D51" i="49"/>
  <c r="E51" i="49" s="1"/>
  <c r="E50" i="49" s="1"/>
  <c r="D41" i="49"/>
  <c r="E41" i="49" s="1"/>
  <c r="D40" i="49"/>
  <c r="E40" i="49" s="1"/>
  <c r="D39" i="49"/>
  <c r="E39" i="49" s="1"/>
  <c r="D29" i="49"/>
  <c r="E29" i="49" s="1"/>
  <c r="D19" i="49"/>
  <c r="E19" i="49" s="1"/>
  <c r="D28" i="50"/>
  <c r="E28" i="50" s="1"/>
  <c r="E33" i="50" s="1"/>
  <c r="D19" i="50"/>
  <c r="E19" i="50" s="1"/>
  <c r="D52" i="50"/>
  <c r="E52" i="50" s="1"/>
  <c r="D51" i="50"/>
  <c r="E51" i="50" s="1"/>
  <c r="D41" i="50"/>
  <c r="E41" i="50" s="1"/>
  <c r="D40" i="7"/>
  <c r="E40" i="7" s="1"/>
  <c r="D39" i="7"/>
  <c r="E39" i="7" s="1"/>
  <c r="D19" i="7"/>
  <c r="E19" i="7" s="1"/>
  <c r="L39" i="43"/>
  <c r="L40" i="43"/>
  <c r="L41" i="43"/>
  <c r="L42" i="43"/>
  <c r="L43" i="43"/>
  <c r="L44" i="43"/>
  <c r="L45" i="43"/>
  <c r="L46" i="43"/>
  <c r="L47" i="43"/>
  <c r="L48" i="43"/>
  <c r="L49" i="43"/>
  <c r="L51" i="43"/>
  <c r="L52" i="43"/>
  <c r="L53" i="43"/>
  <c r="L55" i="43"/>
  <c r="L56" i="43"/>
  <c r="L57" i="43"/>
  <c r="L58" i="43"/>
  <c r="L59" i="43"/>
  <c r="L60" i="43"/>
  <c r="L61" i="43"/>
  <c r="H39" i="43"/>
  <c r="H40" i="43"/>
  <c r="H41" i="43"/>
  <c r="H42" i="43"/>
  <c r="H43" i="43"/>
  <c r="H44" i="43"/>
  <c r="H45" i="43"/>
  <c r="H46" i="43"/>
  <c r="H47" i="43"/>
  <c r="H48" i="43"/>
  <c r="H49" i="43"/>
  <c r="H51" i="43"/>
  <c r="H52" i="43"/>
  <c r="H53" i="43"/>
  <c r="H55" i="43"/>
  <c r="H56" i="43"/>
  <c r="H57" i="43"/>
  <c r="H58" i="43"/>
  <c r="H59" i="43"/>
  <c r="H60" i="43"/>
  <c r="H61" i="43"/>
  <c r="D42" i="43"/>
  <c r="D43" i="43"/>
  <c r="D44" i="43"/>
  <c r="D45" i="43"/>
  <c r="D46" i="43"/>
  <c r="D47" i="43"/>
  <c r="D48" i="43"/>
  <c r="D49" i="43"/>
  <c r="D53" i="43"/>
  <c r="D55" i="43"/>
  <c r="D56" i="43"/>
  <c r="D57" i="43"/>
  <c r="D58" i="43"/>
  <c r="D59" i="43"/>
  <c r="D60" i="43"/>
  <c r="D61" i="43"/>
  <c r="N44" i="43"/>
  <c r="N45" i="43"/>
  <c r="N46" i="43"/>
  <c r="N47" i="43"/>
  <c r="N49" i="43"/>
  <c r="N56" i="43"/>
  <c r="N60" i="43"/>
  <c r="N7" i="43"/>
  <c r="N9" i="43"/>
  <c r="N10" i="43"/>
  <c r="N13" i="43"/>
  <c r="N14" i="43"/>
  <c r="N15" i="43"/>
  <c r="N16" i="43"/>
  <c r="N17" i="43"/>
  <c r="N18" i="43"/>
  <c r="N25" i="43"/>
  <c r="N30" i="43"/>
  <c r="L5" i="43"/>
  <c r="L6" i="43"/>
  <c r="L7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4" i="43"/>
  <c r="L25" i="43"/>
  <c r="L26" i="43"/>
  <c r="L27" i="43"/>
  <c r="L28" i="43"/>
  <c r="L29" i="43"/>
  <c r="L30" i="43"/>
  <c r="L31" i="43"/>
  <c r="L32" i="43"/>
  <c r="H5" i="43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4" i="43"/>
  <c r="H25" i="43"/>
  <c r="H26" i="43"/>
  <c r="H27" i="43"/>
  <c r="H28" i="43"/>
  <c r="H29" i="43"/>
  <c r="H30" i="43"/>
  <c r="H31" i="43"/>
  <c r="H32" i="43"/>
  <c r="D5" i="43"/>
  <c r="D7" i="43"/>
  <c r="D9" i="43"/>
  <c r="D10" i="43"/>
  <c r="D11" i="43"/>
  <c r="D12" i="43"/>
  <c r="D13" i="43"/>
  <c r="D14" i="43"/>
  <c r="D15" i="43"/>
  <c r="D16" i="43"/>
  <c r="D17" i="43"/>
  <c r="D18" i="43"/>
  <c r="D20" i="43"/>
  <c r="D21" i="43"/>
  <c r="D22" i="43"/>
  <c r="D24" i="43"/>
  <c r="D25" i="43"/>
  <c r="D26" i="43"/>
  <c r="D27" i="43"/>
  <c r="D30" i="43"/>
  <c r="D31" i="43"/>
  <c r="D32" i="43"/>
  <c r="L7" i="33"/>
  <c r="H7" i="33"/>
  <c r="D61" i="33"/>
  <c r="D60" i="33"/>
  <c r="D59" i="33"/>
  <c r="D56" i="33"/>
  <c r="E56" i="33" s="1"/>
  <c r="D55" i="33"/>
  <c r="D49" i="33"/>
  <c r="H47" i="33"/>
  <c r="I47" i="33" s="1"/>
  <c r="H46" i="33"/>
  <c r="D46" i="33"/>
  <c r="H42" i="33"/>
  <c r="I42" i="33" s="1"/>
  <c r="O42" i="33" s="1"/>
  <c r="H41" i="33"/>
  <c r="H40" i="33"/>
  <c r="H39" i="33"/>
  <c r="D42" i="33"/>
  <c r="D40" i="33"/>
  <c r="E40" i="33" s="1"/>
  <c r="O40" i="33" s="1"/>
  <c r="D39" i="33"/>
  <c r="E39" i="33" s="1"/>
  <c r="D32" i="33"/>
  <c r="E32" i="33" s="1"/>
  <c r="D30" i="33"/>
  <c r="E30" i="33" s="1"/>
  <c r="D29" i="33"/>
  <c r="E29" i="33" s="1"/>
  <c r="D28" i="33"/>
  <c r="E28" i="33" s="1"/>
  <c r="D26" i="33"/>
  <c r="E26" i="33" s="1"/>
  <c r="D27" i="33"/>
  <c r="D25" i="33"/>
  <c r="E25" i="33" s="1"/>
  <c r="F25" i="33" s="1"/>
  <c r="D24" i="33"/>
  <c r="D22" i="33"/>
  <c r="E22" i="33" s="1"/>
  <c r="D21" i="33"/>
  <c r="E21" i="33" s="1"/>
  <c r="D40" i="50"/>
  <c r="E40" i="50" s="1"/>
  <c r="D39" i="50"/>
  <c r="E39" i="50" s="1"/>
  <c r="D41" i="48"/>
  <c r="E41" i="48" s="1"/>
  <c r="E28" i="44" l="1"/>
  <c r="O28" i="44" s="1"/>
  <c r="N28" i="44"/>
  <c r="E52" i="43"/>
  <c r="E41" i="43"/>
  <c r="D28" i="47"/>
  <c r="E28" i="47" s="1"/>
  <c r="E29" i="47"/>
  <c r="E29" i="43" s="1"/>
  <c r="D38" i="47"/>
  <c r="E39" i="47"/>
  <c r="E38" i="47" s="1"/>
  <c r="F8" i="11"/>
  <c r="S10" i="17" s="1"/>
  <c r="AA10" i="17" s="1"/>
  <c r="R10" i="17"/>
  <c r="Z10" i="17" s="1"/>
  <c r="E19" i="43"/>
  <c r="E8" i="44"/>
  <c r="N8" i="44"/>
  <c r="N8" i="43" s="1"/>
  <c r="D8" i="43"/>
  <c r="D28" i="49"/>
  <c r="E28" i="49" s="1"/>
  <c r="D28" i="45"/>
  <c r="E28" i="45" s="1"/>
  <c r="N39" i="44"/>
  <c r="E39" i="44"/>
  <c r="O39" i="44" s="1"/>
  <c r="E39" i="43"/>
  <c r="N40" i="44"/>
  <c r="E40" i="44"/>
  <c r="O40" i="44" s="1"/>
  <c r="D19" i="43"/>
  <c r="E19" i="46"/>
  <c r="N29" i="44"/>
  <c r="E29" i="44"/>
  <c r="O29" i="44" s="1"/>
  <c r="E24" i="33"/>
  <c r="D33" i="33"/>
  <c r="D50" i="33"/>
  <c r="E51" i="33"/>
  <c r="E55" i="33"/>
  <c r="D58" i="33"/>
  <c r="D62" i="33" s="1"/>
  <c r="E59" i="33"/>
  <c r="E58" i="33" s="1"/>
  <c r="D47" i="33"/>
  <c r="E47" i="33" s="1"/>
  <c r="O47" i="33" s="1"/>
  <c r="I45" i="33"/>
  <c r="I43" i="33" s="1"/>
  <c r="I38" i="33" s="1"/>
  <c r="I54" i="33" s="1"/>
  <c r="I63" i="33" s="1"/>
  <c r="H45" i="33"/>
  <c r="H43" i="33" s="1"/>
  <c r="H38" i="33" s="1"/>
  <c r="H54" i="33" s="1"/>
  <c r="H63" i="33" s="1"/>
  <c r="F25" i="11"/>
  <c r="L21" i="11" s="1"/>
  <c r="D52" i="43"/>
  <c r="E14" i="11"/>
  <c r="D40" i="43"/>
  <c r="D41" i="43"/>
  <c r="D39" i="43"/>
  <c r="D51" i="43"/>
  <c r="D29" i="43"/>
  <c r="G25" i="11"/>
  <c r="G7" i="56"/>
  <c r="G8" i="56"/>
  <c r="G9" i="56"/>
  <c r="G10" i="56"/>
  <c r="G11" i="56"/>
  <c r="G12" i="56"/>
  <c r="G13" i="56"/>
  <c r="G14" i="56"/>
  <c r="G6" i="56"/>
  <c r="F15" i="56"/>
  <c r="F18" i="56" s="1"/>
  <c r="E15" i="56"/>
  <c r="G15" i="56" s="1"/>
  <c r="E8" i="43" l="1"/>
  <c r="O8" i="44"/>
  <c r="E40" i="43"/>
  <c r="E17" i="56"/>
  <c r="E18" i="56" s="1"/>
  <c r="E25" i="11"/>
  <c r="M20" i="11" s="1"/>
  <c r="M21" i="11" s="1"/>
  <c r="AT8" i="17"/>
  <c r="BB8" i="17" s="1"/>
  <c r="O51" i="33"/>
  <c r="E50" i="33"/>
  <c r="O50" i="33" s="1"/>
  <c r="E33" i="33"/>
  <c r="F24" i="33"/>
  <c r="F33" i="33" s="1"/>
  <c r="F34" i="33" s="1"/>
  <c r="J35" i="33" s="1"/>
  <c r="O46" i="33"/>
  <c r="E45" i="33"/>
  <c r="D45" i="33"/>
  <c r="O39" i="33"/>
  <c r="E62" i="33"/>
  <c r="D16" i="59"/>
  <c r="E16" i="59"/>
  <c r="C12" i="59"/>
  <c r="F12" i="59" s="1"/>
  <c r="F16" i="59" s="1"/>
  <c r="D11" i="61"/>
  <c r="C17" i="13"/>
  <c r="E11" i="13"/>
  <c r="C6" i="13"/>
  <c r="I6" i="13" s="1"/>
  <c r="H23" i="45"/>
  <c r="I23" i="45"/>
  <c r="J23" i="45"/>
  <c r="H33" i="45"/>
  <c r="I33" i="45"/>
  <c r="J33" i="45"/>
  <c r="H38" i="45"/>
  <c r="I38" i="45"/>
  <c r="J38" i="45"/>
  <c r="H50" i="45"/>
  <c r="I50" i="45"/>
  <c r="J50" i="45"/>
  <c r="H62" i="45"/>
  <c r="I62" i="45"/>
  <c r="J62" i="45"/>
  <c r="G17" i="56" l="1"/>
  <c r="G18" i="56" s="1"/>
  <c r="J54" i="45"/>
  <c r="J63" i="45" s="1"/>
  <c r="D43" i="33"/>
  <c r="D38" i="33" s="1"/>
  <c r="D54" i="33" s="1"/>
  <c r="D63" i="33" s="1"/>
  <c r="N45" i="33"/>
  <c r="E43" i="33"/>
  <c r="O45" i="33"/>
  <c r="H54" i="45"/>
  <c r="I34" i="45"/>
  <c r="I54" i="45"/>
  <c r="C16" i="59"/>
  <c r="J34" i="45"/>
  <c r="J64" i="45" s="1"/>
  <c r="H34" i="45"/>
  <c r="Q65" i="19"/>
  <c r="Q33" i="19"/>
  <c r="I63" i="45" l="1"/>
  <c r="Q45" i="33"/>
  <c r="O43" i="33"/>
  <c r="E38" i="33"/>
  <c r="H63" i="45"/>
  <c r="C19" i="14"/>
  <c r="I64" i="45" l="1"/>
  <c r="O38" i="33"/>
  <c r="O54" i="33" s="1"/>
  <c r="E54" i="33"/>
  <c r="E63" i="33" s="1"/>
  <c r="H64" i="45"/>
  <c r="Q33" i="35"/>
  <c r="L25" i="58"/>
  <c r="L9" i="58" s="1"/>
  <c r="L32" i="58" s="1"/>
  <c r="K25" i="58"/>
  <c r="K9" i="58"/>
  <c r="M10" i="58"/>
  <c r="M24" i="58"/>
  <c r="M26" i="58"/>
  <c r="M27" i="58"/>
  <c r="M28" i="58"/>
  <c r="M29" i="58"/>
  <c r="M30" i="58"/>
  <c r="M31" i="58"/>
  <c r="M8" i="58"/>
  <c r="M25" i="58" l="1"/>
  <c r="M9" i="58"/>
  <c r="M32" i="58" s="1"/>
  <c r="K32" i="58"/>
  <c r="M15" i="58"/>
  <c r="F6" i="61"/>
  <c r="F5" i="61"/>
  <c r="C5" i="14"/>
  <c r="C20" i="14" s="1"/>
  <c r="D17" i="13"/>
  <c r="E17" i="13"/>
  <c r="E20" i="13" s="1"/>
  <c r="F17" i="13"/>
  <c r="G17" i="13"/>
  <c r="H17" i="13"/>
  <c r="J19" i="13"/>
  <c r="I19" i="13"/>
  <c r="J18" i="13"/>
  <c r="I18" i="13"/>
  <c r="J16" i="13"/>
  <c r="I16" i="13"/>
  <c r="J15" i="13"/>
  <c r="I15" i="13"/>
  <c r="J14" i="13"/>
  <c r="I14" i="13"/>
  <c r="J13" i="13"/>
  <c r="I13" i="13"/>
  <c r="J12" i="13"/>
  <c r="I12" i="13"/>
  <c r="J10" i="13"/>
  <c r="I10" i="13"/>
  <c r="J9" i="13"/>
  <c r="I9" i="13"/>
  <c r="J8" i="13"/>
  <c r="I8" i="13"/>
  <c r="J7" i="13"/>
  <c r="I7" i="13"/>
  <c r="H11" i="13"/>
  <c r="G11" i="13"/>
  <c r="F11" i="13"/>
  <c r="D11" i="13"/>
  <c r="C11" i="13"/>
  <c r="C20" i="13" s="1"/>
  <c r="F20" i="13" l="1"/>
  <c r="J17" i="13"/>
  <c r="I17" i="13"/>
  <c r="J11" i="13"/>
  <c r="I11" i="13"/>
  <c r="G20" i="13"/>
  <c r="I20" i="13" s="1"/>
  <c r="H20" i="13"/>
  <c r="R65" i="19" l="1"/>
  <c r="R53" i="19"/>
  <c r="R46" i="19"/>
  <c r="N26" i="57"/>
  <c r="M26" i="57"/>
  <c r="L26" i="57"/>
  <c r="K26" i="57"/>
  <c r="J26" i="57"/>
  <c r="I26" i="57"/>
  <c r="H26" i="57"/>
  <c r="G26" i="57"/>
  <c r="F26" i="57"/>
  <c r="E26" i="57"/>
  <c r="D26" i="57"/>
  <c r="C26" i="57"/>
  <c r="O25" i="57"/>
  <c r="O24" i="57"/>
  <c r="O23" i="57"/>
  <c r="O22" i="57"/>
  <c r="O21" i="57"/>
  <c r="O20" i="57"/>
  <c r="O19" i="57"/>
  <c r="O18" i="57"/>
  <c r="O17" i="57"/>
  <c r="C15" i="57"/>
  <c r="O14" i="57"/>
  <c r="O13" i="57"/>
  <c r="O12" i="57"/>
  <c r="O11" i="57"/>
  <c r="O10" i="57"/>
  <c r="O9" i="57"/>
  <c r="O8" i="57"/>
  <c r="O7" i="57"/>
  <c r="O6" i="57"/>
  <c r="O26" i="57" l="1"/>
  <c r="O15" i="57"/>
  <c r="C27" i="57"/>
  <c r="D5" i="57" s="1"/>
  <c r="D15" i="57" s="1"/>
  <c r="D27" i="57" s="1"/>
  <c r="E5" i="57" s="1"/>
  <c r="E15" i="57" s="1"/>
  <c r="E27" i="57" s="1"/>
  <c r="F5" i="57" s="1"/>
  <c r="F15" i="57" s="1"/>
  <c r="F27" i="57" s="1"/>
  <c r="G5" i="57" s="1"/>
  <c r="G15" i="57" s="1"/>
  <c r="G27" i="57" s="1"/>
  <c r="H5" i="57" s="1"/>
  <c r="H15" i="57" s="1"/>
  <c r="H27" i="57" s="1"/>
  <c r="I5" i="57" s="1"/>
  <c r="I15" i="57" s="1"/>
  <c r="I27" i="57" s="1"/>
  <c r="J5" i="57" s="1"/>
  <c r="J15" i="57" s="1"/>
  <c r="J27" i="57" s="1"/>
  <c r="K5" i="57" s="1"/>
  <c r="K15" i="57" s="1"/>
  <c r="K27" i="57" s="1"/>
  <c r="L5" i="57" s="1"/>
  <c r="L15" i="57" s="1"/>
  <c r="L27" i="57" s="1"/>
  <c r="M5" i="57" s="1"/>
  <c r="M15" i="57" s="1"/>
  <c r="M27" i="57" s="1"/>
  <c r="N5" i="57" s="1"/>
  <c r="N15" i="57" s="1"/>
  <c r="N27" i="57" s="1"/>
  <c r="C7" i="58"/>
  <c r="C10" i="58" s="1"/>
  <c r="F15" i="59"/>
  <c r="F14" i="59"/>
  <c r="F13" i="59"/>
  <c r="E11" i="61"/>
  <c r="K61" i="43"/>
  <c r="J61" i="43"/>
  <c r="G61" i="43"/>
  <c r="F61" i="43"/>
  <c r="C61" i="43"/>
  <c r="M60" i="43"/>
  <c r="K60" i="43"/>
  <c r="G60" i="43"/>
  <c r="C60" i="43"/>
  <c r="K59" i="43"/>
  <c r="J59" i="43"/>
  <c r="G59" i="43"/>
  <c r="F59" i="43"/>
  <c r="C59" i="43"/>
  <c r="K58" i="43"/>
  <c r="J58" i="43"/>
  <c r="G58" i="43"/>
  <c r="F58" i="43"/>
  <c r="C58" i="43"/>
  <c r="K57" i="43"/>
  <c r="J57" i="43"/>
  <c r="G57" i="43"/>
  <c r="F57" i="43"/>
  <c r="C57" i="43"/>
  <c r="M56" i="43"/>
  <c r="K56" i="43"/>
  <c r="G56" i="43"/>
  <c r="C56" i="43"/>
  <c r="K55" i="43"/>
  <c r="J55" i="43"/>
  <c r="G55" i="43"/>
  <c r="F55" i="43"/>
  <c r="C55" i="43"/>
  <c r="K53" i="43"/>
  <c r="J53" i="43"/>
  <c r="G53" i="43"/>
  <c r="F53" i="43"/>
  <c r="C53" i="43"/>
  <c r="K52" i="43"/>
  <c r="J52" i="43"/>
  <c r="G52" i="43"/>
  <c r="F52" i="43"/>
  <c r="C52" i="43"/>
  <c r="K51" i="43"/>
  <c r="J51" i="43"/>
  <c r="G51" i="43"/>
  <c r="F51" i="43"/>
  <c r="C51" i="43"/>
  <c r="M49" i="43"/>
  <c r="K49" i="43"/>
  <c r="G49" i="43"/>
  <c r="C49" i="43"/>
  <c r="K48" i="43"/>
  <c r="J48" i="43"/>
  <c r="G48" i="43"/>
  <c r="F48" i="43"/>
  <c r="C48" i="43"/>
  <c r="M47" i="43"/>
  <c r="K47" i="43"/>
  <c r="G47" i="43"/>
  <c r="C47" i="43"/>
  <c r="M46" i="43"/>
  <c r="K46" i="43"/>
  <c r="G46" i="43"/>
  <c r="C46" i="43"/>
  <c r="M45" i="43"/>
  <c r="K45" i="43"/>
  <c r="G45" i="43"/>
  <c r="C45" i="43"/>
  <c r="M44" i="43"/>
  <c r="K44" i="43"/>
  <c r="G44" i="43"/>
  <c r="C44" i="43"/>
  <c r="K43" i="43"/>
  <c r="J43" i="43"/>
  <c r="G43" i="43"/>
  <c r="F43" i="43"/>
  <c r="C43" i="43"/>
  <c r="K42" i="43"/>
  <c r="J42" i="43"/>
  <c r="G42" i="43"/>
  <c r="F42" i="43"/>
  <c r="C42" i="43"/>
  <c r="K41" i="43"/>
  <c r="J41" i="43"/>
  <c r="G41" i="43"/>
  <c r="F41" i="43"/>
  <c r="C41" i="43"/>
  <c r="K40" i="43"/>
  <c r="J40" i="43"/>
  <c r="G40" i="43"/>
  <c r="F40" i="43"/>
  <c r="C40" i="43"/>
  <c r="K39" i="43"/>
  <c r="J39" i="43"/>
  <c r="G39" i="43"/>
  <c r="F39" i="43"/>
  <c r="C39" i="43"/>
  <c r="K32" i="43"/>
  <c r="J32" i="43"/>
  <c r="G32" i="43"/>
  <c r="F32" i="43"/>
  <c r="C32" i="43"/>
  <c r="K31" i="43"/>
  <c r="J31" i="43"/>
  <c r="G31" i="43"/>
  <c r="F31" i="43"/>
  <c r="C31" i="43"/>
  <c r="M30" i="43"/>
  <c r="K30" i="43"/>
  <c r="G30" i="43"/>
  <c r="C30" i="43"/>
  <c r="K29" i="43"/>
  <c r="J29" i="43"/>
  <c r="G29" i="43"/>
  <c r="F29" i="43"/>
  <c r="C29" i="43"/>
  <c r="K28" i="43"/>
  <c r="J28" i="43"/>
  <c r="G28" i="43"/>
  <c r="F28" i="43"/>
  <c r="K27" i="43"/>
  <c r="J27" i="43"/>
  <c r="G27" i="43"/>
  <c r="F27" i="43"/>
  <c r="C27" i="43"/>
  <c r="K26" i="43"/>
  <c r="J26" i="43"/>
  <c r="G26" i="43"/>
  <c r="F26" i="43"/>
  <c r="C26" i="43"/>
  <c r="M25" i="43"/>
  <c r="K25" i="43"/>
  <c r="G25" i="43"/>
  <c r="C25" i="43"/>
  <c r="K24" i="43"/>
  <c r="J24" i="43"/>
  <c r="G24" i="43"/>
  <c r="F24" i="43"/>
  <c r="C24" i="43"/>
  <c r="K22" i="43"/>
  <c r="J22" i="43"/>
  <c r="G22" i="43"/>
  <c r="F22" i="43"/>
  <c r="C22" i="43"/>
  <c r="K21" i="43"/>
  <c r="J21" i="43"/>
  <c r="G21" i="43"/>
  <c r="F21" i="43"/>
  <c r="C21" i="43"/>
  <c r="K20" i="43"/>
  <c r="J20" i="43"/>
  <c r="G20" i="43"/>
  <c r="F20" i="43"/>
  <c r="C20" i="43"/>
  <c r="K19" i="43"/>
  <c r="J19" i="43"/>
  <c r="G19" i="43"/>
  <c r="F19" i="43"/>
  <c r="C19" i="43"/>
  <c r="M18" i="43"/>
  <c r="K18" i="43"/>
  <c r="G18" i="43"/>
  <c r="C18" i="43"/>
  <c r="M17" i="43"/>
  <c r="K17" i="43"/>
  <c r="G17" i="43"/>
  <c r="C17" i="43"/>
  <c r="M16" i="43"/>
  <c r="K16" i="43"/>
  <c r="G16" i="43"/>
  <c r="C16" i="43"/>
  <c r="M15" i="43"/>
  <c r="K15" i="43"/>
  <c r="G15" i="43"/>
  <c r="C15" i="43"/>
  <c r="M14" i="43"/>
  <c r="K14" i="43"/>
  <c r="G14" i="43"/>
  <c r="C14" i="43"/>
  <c r="M13" i="43"/>
  <c r="K13" i="43"/>
  <c r="G13" i="43"/>
  <c r="C13" i="43"/>
  <c r="K12" i="43"/>
  <c r="J12" i="43"/>
  <c r="G12" i="43"/>
  <c r="F12" i="43"/>
  <c r="C12" i="43"/>
  <c r="K11" i="43"/>
  <c r="J11" i="43"/>
  <c r="G11" i="43"/>
  <c r="F11" i="43"/>
  <c r="C11" i="43"/>
  <c r="K10" i="43"/>
  <c r="G10" i="43"/>
  <c r="C10" i="43"/>
  <c r="K9" i="43"/>
  <c r="G9" i="43"/>
  <c r="C9" i="43"/>
  <c r="K8" i="43"/>
  <c r="G8" i="43"/>
  <c r="C8" i="43"/>
  <c r="K7" i="43"/>
  <c r="G7" i="43"/>
  <c r="C7" i="43"/>
  <c r="K6" i="43"/>
  <c r="J6" i="43"/>
  <c r="G6" i="43"/>
  <c r="F6" i="43"/>
  <c r="K5" i="43"/>
  <c r="J5" i="43"/>
  <c r="G5" i="43"/>
  <c r="F5" i="43"/>
  <c r="C5" i="43"/>
  <c r="F64" i="44"/>
  <c r="L62" i="44"/>
  <c r="K62" i="44"/>
  <c r="J62" i="44"/>
  <c r="I62" i="44"/>
  <c r="H62" i="44"/>
  <c r="G62" i="44"/>
  <c r="E62" i="44"/>
  <c r="O62" i="44" s="1"/>
  <c r="D62" i="44"/>
  <c r="N62" i="44" s="1"/>
  <c r="C62" i="44"/>
  <c r="M62" i="44" s="1"/>
  <c r="L50" i="44"/>
  <c r="K50" i="44"/>
  <c r="J50" i="44"/>
  <c r="I50" i="44"/>
  <c r="H50" i="44"/>
  <c r="G50" i="44"/>
  <c r="E50" i="44"/>
  <c r="O50" i="44" s="1"/>
  <c r="D50" i="44"/>
  <c r="N50" i="44" s="1"/>
  <c r="C50" i="44"/>
  <c r="L38" i="44"/>
  <c r="L54" i="44" s="1"/>
  <c r="K38" i="44"/>
  <c r="K54" i="44" s="1"/>
  <c r="K63" i="44" s="1"/>
  <c r="J38" i="44"/>
  <c r="I38" i="44"/>
  <c r="H38" i="44"/>
  <c r="H54" i="44" s="1"/>
  <c r="G38" i="44"/>
  <c r="G54" i="44" s="1"/>
  <c r="G63" i="44" s="1"/>
  <c r="E38" i="44"/>
  <c r="D38" i="44"/>
  <c r="C38" i="44"/>
  <c r="L33" i="44"/>
  <c r="K33" i="44"/>
  <c r="J33" i="44"/>
  <c r="I33" i="44"/>
  <c r="H33" i="44"/>
  <c r="G33" i="44"/>
  <c r="E33" i="44"/>
  <c r="D33" i="44"/>
  <c r="C28" i="44"/>
  <c r="M28" i="44" s="1"/>
  <c r="L23" i="44"/>
  <c r="K23" i="44"/>
  <c r="K34" i="44" s="1"/>
  <c r="J23" i="44"/>
  <c r="J34" i="44" s="1"/>
  <c r="I23" i="44"/>
  <c r="I34" i="44" s="1"/>
  <c r="H23" i="44"/>
  <c r="G23" i="44"/>
  <c r="M10" i="43"/>
  <c r="M9" i="43"/>
  <c r="M8" i="43"/>
  <c r="M7" i="43"/>
  <c r="C6" i="44"/>
  <c r="M6" i="44" s="1"/>
  <c r="O61" i="45"/>
  <c r="N61" i="45"/>
  <c r="O59" i="45"/>
  <c r="N59" i="45"/>
  <c r="O58" i="45"/>
  <c r="N58" i="45"/>
  <c r="O57" i="45"/>
  <c r="N57" i="45"/>
  <c r="O55" i="45"/>
  <c r="N55" i="45"/>
  <c r="O53" i="45"/>
  <c r="N53" i="45"/>
  <c r="O52" i="45"/>
  <c r="N52" i="45"/>
  <c r="O51" i="45"/>
  <c r="N51" i="45"/>
  <c r="O48" i="45"/>
  <c r="N48" i="45"/>
  <c r="O43" i="45"/>
  <c r="N43" i="45"/>
  <c r="O42" i="45"/>
  <c r="N42" i="45"/>
  <c r="O41" i="45"/>
  <c r="N41" i="45"/>
  <c r="O40" i="45"/>
  <c r="N40" i="45"/>
  <c r="O39" i="45"/>
  <c r="N39" i="45"/>
  <c r="O32" i="45"/>
  <c r="N32" i="45"/>
  <c r="O31" i="45"/>
  <c r="N31" i="45"/>
  <c r="O29" i="45"/>
  <c r="N29" i="45"/>
  <c r="O28" i="45"/>
  <c r="N28" i="45"/>
  <c r="O27" i="45"/>
  <c r="N27" i="45"/>
  <c r="O26" i="45"/>
  <c r="N26" i="45"/>
  <c r="O24" i="45"/>
  <c r="N24" i="45"/>
  <c r="O22" i="45"/>
  <c r="N22" i="45"/>
  <c r="O21" i="45"/>
  <c r="N21" i="45"/>
  <c r="O20" i="45"/>
  <c r="N20" i="45"/>
  <c r="O19" i="45"/>
  <c r="N19" i="45"/>
  <c r="O12" i="45"/>
  <c r="N12" i="45"/>
  <c r="O11" i="45"/>
  <c r="N11" i="45"/>
  <c r="O6" i="45"/>
  <c r="N6" i="45"/>
  <c r="O5" i="45"/>
  <c r="N5" i="45"/>
  <c r="F65" i="45"/>
  <c r="F64" i="45"/>
  <c r="L62" i="45"/>
  <c r="K62" i="45"/>
  <c r="G62" i="45"/>
  <c r="E62" i="45"/>
  <c r="D62" i="45"/>
  <c r="C62" i="45"/>
  <c r="M61" i="45"/>
  <c r="M59" i="45"/>
  <c r="M58" i="45"/>
  <c r="M57" i="45"/>
  <c r="M55" i="45"/>
  <c r="M53" i="45"/>
  <c r="M52" i="45"/>
  <c r="M51" i="45"/>
  <c r="L50" i="45"/>
  <c r="K50" i="45"/>
  <c r="G50" i="45"/>
  <c r="E50" i="45"/>
  <c r="D50" i="45"/>
  <c r="N50" i="45" s="1"/>
  <c r="C50" i="45"/>
  <c r="M50" i="45" s="1"/>
  <c r="M48" i="45"/>
  <c r="M43" i="45"/>
  <c r="M42" i="45"/>
  <c r="M41" i="45"/>
  <c r="M40" i="45"/>
  <c r="M39" i="45"/>
  <c r="L38" i="45"/>
  <c r="K38" i="45"/>
  <c r="K54" i="45" s="1"/>
  <c r="G38" i="45"/>
  <c r="G54" i="45" s="1"/>
  <c r="E38" i="45"/>
  <c r="D38" i="45"/>
  <c r="C38" i="45"/>
  <c r="L33" i="45"/>
  <c r="K33" i="45"/>
  <c r="G33" i="45"/>
  <c r="E33" i="45"/>
  <c r="O33" i="45" s="1"/>
  <c r="D33" i="45"/>
  <c r="N33" i="45" s="1"/>
  <c r="M32" i="45"/>
  <c r="M31" i="45"/>
  <c r="M29" i="45"/>
  <c r="C28" i="45"/>
  <c r="C33" i="45" s="1"/>
  <c r="M27" i="45"/>
  <c r="M26" i="45"/>
  <c r="M24" i="45"/>
  <c r="L23" i="45"/>
  <c r="K23" i="45"/>
  <c r="K34" i="45" s="1"/>
  <c r="G23" i="45"/>
  <c r="E23" i="45"/>
  <c r="D23" i="45"/>
  <c r="C23" i="45"/>
  <c r="M22" i="45"/>
  <c r="M21" i="45"/>
  <c r="M20" i="45"/>
  <c r="M19" i="45"/>
  <c r="M12" i="45"/>
  <c r="M11" i="45"/>
  <c r="M6" i="45"/>
  <c r="M5" i="45"/>
  <c r="F64" i="46"/>
  <c r="L62" i="46"/>
  <c r="K62" i="46"/>
  <c r="J62" i="46"/>
  <c r="I62" i="46"/>
  <c r="H62" i="46"/>
  <c r="G62" i="46"/>
  <c r="E62" i="46"/>
  <c r="D62" i="46"/>
  <c r="C62" i="46"/>
  <c r="O61" i="46"/>
  <c r="N61" i="46"/>
  <c r="M61" i="46"/>
  <c r="O59" i="46"/>
  <c r="N59" i="46"/>
  <c r="M59" i="46"/>
  <c r="O58" i="46"/>
  <c r="N58" i="46"/>
  <c r="M58" i="46"/>
  <c r="O57" i="46"/>
  <c r="N57" i="46"/>
  <c r="M57" i="46"/>
  <c r="O55" i="46"/>
  <c r="N55" i="46"/>
  <c r="M55" i="46"/>
  <c r="O53" i="46"/>
  <c r="N53" i="46"/>
  <c r="M53" i="46"/>
  <c r="O52" i="46"/>
  <c r="N52" i="46"/>
  <c r="M52" i="46"/>
  <c r="O51" i="46"/>
  <c r="N51" i="46"/>
  <c r="M51" i="46"/>
  <c r="L50" i="46"/>
  <c r="K50" i="46"/>
  <c r="J50" i="46"/>
  <c r="I50" i="46"/>
  <c r="H50" i="46"/>
  <c r="G50" i="46"/>
  <c r="E50" i="46"/>
  <c r="D50" i="46"/>
  <c r="C50" i="46"/>
  <c r="M50" i="46" s="1"/>
  <c r="O48" i="46"/>
  <c r="N48" i="46"/>
  <c r="M48" i="46"/>
  <c r="O43" i="46"/>
  <c r="N43" i="46"/>
  <c r="M43" i="46"/>
  <c r="O42" i="46"/>
  <c r="N42" i="46"/>
  <c r="M42" i="46"/>
  <c r="O41" i="46"/>
  <c r="N41" i="46"/>
  <c r="M41" i="46"/>
  <c r="O40" i="46"/>
  <c r="N40" i="46"/>
  <c r="M40" i="46"/>
  <c r="O39" i="46"/>
  <c r="N39" i="46"/>
  <c r="M39" i="46"/>
  <c r="L38" i="46"/>
  <c r="K38" i="46"/>
  <c r="K54" i="46" s="1"/>
  <c r="J38" i="46"/>
  <c r="J54" i="46" s="1"/>
  <c r="I38" i="46"/>
  <c r="H38" i="46"/>
  <c r="G38" i="46"/>
  <c r="G54" i="46" s="1"/>
  <c r="G63" i="46" s="1"/>
  <c r="E38" i="46"/>
  <c r="D38" i="46"/>
  <c r="C38" i="46"/>
  <c r="L33" i="46"/>
  <c r="K33" i="46"/>
  <c r="J33" i="46"/>
  <c r="I33" i="46"/>
  <c r="H33" i="46"/>
  <c r="G33" i="46"/>
  <c r="O32" i="46"/>
  <c r="N32" i="46"/>
  <c r="M32" i="46"/>
  <c r="O31" i="46"/>
  <c r="N31" i="46"/>
  <c r="M31" i="46"/>
  <c r="O29" i="46"/>
  <c r="N29" i="46"/>
  <c r="M29" i="46"/>
  <c r="C28" i="46"/>
  <c r="M28" i="46" s="1"/>
  <c r="O27" i="46"/>
  <c r="N27" i="46"/>
  <c r="M27" i="46"/>
  <c r="O26" i="46"/>
  <c r="N26" i="46"/>
  <c r="M26" i="46"/>
  <c r="O24" i="46"/>
  <c r="N24" i="46"/>
  <c r="M24" i="46"/>
  <c r="L23" i="46"/>
  <c r="K23" i="46"/>
  <c r="J23" i="46"/>
  <c r="I23" i="46"/>
  <c r="H23" i="46"/>
  <c r="G23" i="46"/>
  <c r="E23" i="46"/>
  <c r="D23" i="46"/>
  <c r="C23" i="46"/>
  <c r="O22" i="46"/>
  <c r="N22" i="46"/>
  <c r="M22" i="46"/>
  <c r="O21" i="46"/>
  <c r="N21" i="46"/>
  <c r="M21" i="46"/>
  <c r="O20" i="46"/>
  <c r="N20" i="46"/>
  <c r="M20" i="46"/>
  <c r="O19" i="46"/>
  <c r="N19" i="46"/>
  <c r="M19" i="46"/>
  <c r="O12" i="46"/>
  <c r="N12" i="46"/>
  <c r="M12" i="46"/>
  <c r="O11" i="46"/>
  <c r="N11" i="46"/>
  <c r="M11" i="46"/>
  <c r="O6" i="46"/>
  <c r="N6" i="46"/>
  <c r="M6" i="46"/>
  <c r="O5" i="46"/>
  <c r="N5" i="46"/>
  <c r="M5" i="46"/>
  <c r="F64" i="47"/>
  <c r="L62" i="47"/>
  <c r="K62" i="47"/>
  <c r="J62" i="47"/>
  <c r="I62" i="47"/>
  <c r="H62" i="47"/>
  <c r="G62" i="47"/>
  <c r="E62" i="47"/>
  <c r="D62" i="47"/>
  <c r="N62" i="47" s="1"/>
  <c r="C62" i="47"/>
  <c r="O61" i="47"/>
  <c r="N61" i="47"/>
  <c r="M61" i="47"/>
  <c r="O59" i="47"/>
  <c r="N59" i="47"/>
  <c r="M59" i="47"/>
  <c r="O58" i="47"/>
  <c r="N58" i="47"/>
  <c r="M58" i="47"/>
  <c r="O57" i="47"/>
  <c r="N57" i="47"/>
  <c r="M57" i="47"/>
  <c r="O55" i="47"/>
  <c r="N55" i="47"/>
  <c r="M55" i="47"/>
  <c r="O53" i="47"/>
  <c r="N53" i="47"/>
  <c r="M53" i="47"/>
  <c r="O52" i="47"/>
  <c r="N52" i="47"/>
  <c r="M52" i="47"/>
  <c r="O51" i="47"/>
  <c r="N51" i="47"/>
  <c r="M51" i="47"/>
  <c r="J50" i="47"/>
  <c r="I50" i="47"/>
  <c r="H50" i="47"/>
  <c r="G50" i="47"/>
  <c r="E50" i="47"/>
  <c r="D50" i="47"/>
  <c r="D54" i="47" s="1"/>
  <c r="C50" i="47"/>
  <c r="M50" i="47" s="1"/>
  <c r="O48" i="47"/>
  <c r="N48" i="47"/>
  <c r="M48" i="47"/>
  <c r="O43" i="47"/>
  <c r="N43" i="47"/>
  <c r="M43" i="47"/>
  <c r="O42" i="47"/>
  <c r="N42" i="47"/>
  <c r="M42" i="47"/>
  <c r="O41" i="47"/>
  <c r="N41" i="47"/>
  <c r="M41" i="47"/>
  <c r="O40" i="47"/>
  <c r="N40" i="47"/>
  <c r="M40" i="47"/>
  <c r="O39" i="47"/>
  <c r="N39" i="47"/>
  <c r="M39" i="47"/>
  <c r="L38" i="47"/>
  <c r="L54" i="47" s="1"/>
  <c r="L63" i="47" s="1"/>
  <c r="K38" i="47"/>
  <c r="K54" i="47" s="1"/>
  <c r="J38" i="47"/>
  <c r="I38" i="47"/>
  <c r="H38" i="47"/>
  <c r="G38" i="47"/>
  <c r="G54" i="47" s="1"/>
  <c r="C38" i="47"/>
  <c r="L33" i="47"/>
  <c r="K33" i="47"/>
  <c r="J33" i="47"/>
  <c r="I33" i="47"/>
  <c r="H33" i="47"/>
  <c r="G33" i="47"/>
  <c r="E33" i="47"/>
  <c r="O33" i="47" s="1"/>
  <c r="D33" i="47"/>
  <c r="O32" i="47"/>
  <c r="N32" i="47"/>
  <c r="M32" i="47"/>
  <c r="O31" i="47"/>
  <c r="N31" i="47"/>
  <c r="M31" i="47"/>
  <c r="O29" i="47"/>
  <c r="N29" i="47"/>
  <c r="M29" i="47"/>
  <c r="O28" i="47"/>
  <c r="N28" i="47"/>
  <c r="C28" i="47"/>
  <c r="M28" i="47" s="1"/>
  <c r="O27" i="47"/>
  <c r="N27" i="47"/>
  <c r="M27" i="47"/>
  <c r="O26" i="47"/>
  <c r="N26" i="47"/>
  <c r="M26" i="47"/>
  <c r="O24" i="47"/>
  <c r="N24" i="47"/>
  <c r="M24" i="47"/>
  <c r="L23" i="47"/>
  <c r="L34" i="47" s="1"/>
  <c r="K23" i="47"/>
  <c r="J23" i="47"/>
  <c r="I23" i="47"/>
  <c r="I34" i="47" s="1"/>
  <c r="H23" i="47"/>
  <c r="G23" i="47"/>
  <c r="E23" i="47"/>
  <c r="D23" i="47"/>
  <c r="C23" i="47"/>
  <c r="O22" i="47"/>
  <c r="N22" i="47"/>
  <c r="M22" i="47"/>
  <c r="O21" i="47"/>
  <c r="N21" i="47"/>
  <c r="M21" i="47"/>
  <c r="O20" i="47"/>
  <c r="N20" i="47"/>
  <c r="M20" i="47"/>
  <c r="O19" i="47"/>
  <c r="N19" i="47"/>
  <c r="M19" i="47"/>
  <c r="O12" i="47"/>
  <c r="N12" i="47"/>
  <c r="M12" i="47"/>
  <c r="O11" i="47"/>
  <c r="N11" i="47"/>
  <c r="M11" i="47"/>
  <c r="O6" i="47"/>
  <c r="N6" i="47"/>
  <c r="M6" i="47"/>
  <c r="O5" i="47"/>
  <c r="N5" i="47"/>
  <c r="M5" i="47"/>
  <c r="O61" i="48"/>
  <c r="N61" i="48"/>
  <c r="O59" i="48"/>
  <c r="N59" i="48"/>
  <c r="O58" i="48"/>
  <c r="N58" i="48"/>
  <c r="O57" i="48"/>
  <c r="N57" i="48"/>
  <c r="O55" i="48"/>
  <c r="N55" i="48"/>
  <c r="O53" i="48"/>
  <c r="N53" i="48"/>
  <c r="O52" i="48"/>
  <c r="N52" i="48"/>
  <c r="O51" i="48"/>
  <c r="N51" i="48"/>
  <c r="O48" i="48"/>
  <c r="N48" i="48"/>
  <c r="O43" i="48"/>
  <c r="N43" i="48"/>
  <c r="O42" i="48"/>
  <c r="N42" i="48"/>
  <c r="O41" i="48"/>
  <c r="N41" i="48"/>
  <c r="O40" i="48"/>
  <c r="N40" i="48"/>
  <c r="O39" i="48"/>
  <c r="N39" i="48"/>
  <c r="O32" i="48"/>
  <c r="N32" i="48"/>
  <c r="O31" i="48"/>
  <c r="N31" i="48"/>
  <c r="O29" i="48"/>
  <c r="N29" i="48"/>
  <c r="O28" i="48"/>
  <c r="N28" i="48"/>
  <c r="O27" i="48"/>
  <c r="N27" i="48"/>
  <c r="O26" i="48"/>
  <c r="N26" i="48"/>
  <c r="O24" i="48"/>
  <c r="N24" i="48"/>
  <c r="O22" i="48"/>
  <c r="N22" i="48"/>
  <c r="O21" i="48"/>
  <c r="N21" i="48"/>
  <c r="O20" i="48"/>
  <c r="N20" i="48"/>
  <c r="O19" i="48"/>
  <c r="N19" i="48"/>
  <c r="O12" i="48"/>
  <c r="N12" i="48"/>
  <c r="O11" i="48"/>
  <c r="N11" i="48"/>
  <c r="O6" i="48"/>
  <c r="N6" i="48"/>
  <c r="O5" i="48"/>
  <c r="N5" i="48"/>
  <c r="F64" i="48"/>
  <c r="L62" i="48"/>
  <c r="K62" i="48"/>
  <c r="J62" i="48"/>
  <c r="I62" i="48"/>
  <c r="H62" i="48"/>
  <c r="G62" i="48"/>
  <c r="E62" i="48"/>
  <c r="D62" i="48"/>
  <c r="C62" i="48"/>
  <c r="M61" i="48"/>
  <c r="M59" i="48"/>
  <c r="M58" i="48"/>
  <c r="M57" i="48"/>
  <c r="M55" i="48"/>
  <c r="M53" i="48"/>
  <c r="M52" i="48"/>
  <c r="M51" i="48"/>
  <c r="L50" i="48"/>
  <c r="K50" i="48"/>
  <c r="J50" i="48"/>
  <c r="I50" i="48"/>
  <c r="H50" i="48"/>
  <c r="G50" i="48"/>
  <c r="E50" i="48"/>
  <c r="D50" i="48"/>
  <c r="C50" i="48"/>
  <c r="M48" i="48"/>
  <c r="M43" i="48"/>
  <c r="M42" i="48"/>
  <c r="M41" i="48"/>
  <c r="M40" i="48"/>
  <c r="M39" i="48"/>
  <c r="L38" i="48"/>
  <c r="L54" i="48" s="1"/>
  <c r="L63" i="48" s="1"/>
  <c r="K38" i="48"/>
  <c r="J38" i="48"/>
  <c r="I38" i="48"/>
  <c r="H38" i="48"/>
  <c r="H54" i="48" s="1"/>
  <c r="H63" i="48" s="1"/>
  <c r="G38" i="48"/>
  <c r="G54" i="48" s="1"/>
  <c r="G63" i="48" s="1"/>
  <c r="E38" i="48"/>
  <c r="D38" i="48"/>
  <c r="C38" i="48"/>
  <c r="M38" i="48" s="1"/>
  <c r="L33" i="48"/>
  <c r="K33" i="48"/>
  <c r="J33" i="48"/>
  <c r="I33" i="48"/>
  <c r="H33" i="48"/>
  <c r="G33" i="48"/>
  <c r="E33" i="48"/>
  <c r="D33" i="48"/>
  <c r="N33" i="48" s="1"/>
  <c r="M32" i="48"/>
  <c r="M31" i="48"/>
  <c r="M29" i="48"/>
  <c r="C28" i="48"/>
  <c r="M28" i="48" s="1"/>
  <c r="M27" i="48"/>
  <c r="M26" i="48"/>
  <c r="M24" i="48"/>
  <c r="L23" i="48"/>
  <c r="L34" i="48" s="1"/>
  <c r="K23" i="48"/>
  <c r="J23" i="48"/>
  <c r="I23" i="48"/>
  <c r="H23" i="48"/>
  <c r="H34" i="48" s="1"/>
  <c r="G23" i="48"/>
  <c r="G34" i="48" s="1"/>
  <c r="E23" i="48"/>
  <c r="D23" i="48"/>
  <c r="C23" i="48"/>
  <c r="M23" i="48" s="1"/>
  <c r="M22" i="48"/>
  <c r="M21" i="48"/>
  <c r="M20" i="48"/>
  <c r="M19" i="48"/>
  <c r="M12" i="48"/>
  <c r="M11" i="48"/>
  <c r="M6" i="48"/>
  <c r="M5" i="48"/>
  <c r="F64" i="49"/>
  <c r="L62" i="49"/>
  <c r="K62" i="49"/>
  <c r="J62" i="49"/>
  <c r="I62" i="49"/>
  <c r="H62" i="49"/>
  <c r="G62" i="49"/>
  <c r="E62" i="49"/>
  <c r="O62" i="49" s="1"/>
  <c r="D62" i="49"/>
  <c r="C62" i="49"/>
  <c r="O61" i="49"/>
  <c r="N61" i="49"/>
  <c r="M61" i="49"/>
  <c r="O59" i="49"/>
  <c r="N59" i="49"/>
  <c r="M59" i="49"/>
  <c r="O58" i="49"/>
  <c r="N58" i="49"/>
  <c r="M58" i="49"/>
  <c r="O57" i="49"/>
  <c r="N57" i="49"/>
  <c r="M57" i="49"/>
  <c r="O55" i="49"/>
  <c r="N55" i="49"/>
  <c r="M55" i="49"/>
  <c r="O53" i="49"/>
  <c r="N53" i="49"/>
  <c r="M53" i="49"/>
  <c r="O52" i="49"/>
  <c r="N52" i="49"/>
  <c r="M52" i="49"/>
  <c r="O51" i="49"/>
  <c r="N51" i="49"/>
  <c r="M51" i="49"/>
  <c r="L50" i="49"/>
  <c r="K50" i="49"/>
  <c r="J50" i="49"/>
  <c r="I50" i="49"/>
  <c r="H50" i="49"/>
  <c r="G50" i="49"/>
  <c r="D50" i="49"/>
  <c r="C50" i="49"/>
  <c r="O48" i="49"/>
  <c r="N48" i="49"/>
  <c r="M48" i="49"/>
  <c r="O43" i="49"/>
  <c r="N43" i="49"/>
  <c r="M43" i="49"/>
  <c r="O42" i="49"/>
  <c r="N42" i="49"/>
  <c r="M42" i="49"/>
  <c r="O41" i="49"/>
  <c r="N41" i="49"/>
  <c r="M41" i="49"/>
  <c r="O40" i="49"/>
  <c r="N40" i="49"/>
  <c r="M40" i="49"/>
  <c r="O39" i="49"/>
  <c r="N39" i="49"/>
  <c r="M39" i="49"/>
  <c r="L38" i="49"/>
  <c r="K38" i="49"/>
  <c r="J38" i="49"/>
  <c r="I38" i="49"/>
  <c r="H38" i="49"/>
  <c r="G38" i="49"/>
  <c r="E38" i="49"/>
  <c r="D38" i="49"/>
  <c r="C38" i="49"/>
  <c r="L33" i="49"/>
  <c r="K33" i="49"/>
  <c r="J33" i="49"/>
  <c r="I33" i="49"/>
  <c r="H33" i="49"/>
  <c r="G33" i="49"/>
  <c r="E33" i="49"/>
  <c r="D33" i="49"/>
  <c r="O32" i="49"/>
  <c r="N32" i="49"/>
  <c r="M32" i="49"/>
  <c r="O31" i="49"/>
  <c r="N31" i="49"/>
  <c r="M31" i="49"/>
  <c r="O29" i="49"/>
  <c r="N29" i="49"/>
  <c r="M29" i="49"/>
  <c r="O28" i="49"/>
  <c r="N28" i="49"/>
  <c r="C28" i="49"/>
  <c r="C33" i="49" s="1"/>
  <c r="O27" i="49"/>
  <c r="N27" i="49"/>
  <c r="M27" i="49"/>
  <c r="O26" i="49"/>
  <c r="N26" i="49"/>
  <c r="M26" i="49"/>
  <c r="O24" i="49"/>
  <c r="N24" i="49"/>
  <c r="M24" i="49"/>
  <c r="L23" i="49"/>
  <c r="L34" i="49" s="1"/>
  <c r="K23" i="49"/>
  <c r="K34" i="49" s="1"/>
  <c r="J23" i="49"/>
  <c r="I23" i="49"/>
  <c r="H23" i="49"/>
  <c r="H34" i="49" s="1"/>
  <c r="G23" i="49"/>
  <c r="E23" i="49"/>
  <c r="D23" i="49"/>
  <c r="C23" i="49"/>
  <c r="O22" i="49"/>
  <c r="N22" i="49"/>
  <c r="M22" i="49"/>
  <c r="O21" i="49"/>
  <c r="N21" i="49"/>
  <c r="M21" i="49"/>
  <c r="O20" i="49"/>
  <c r="N20" i="49"/>
  <c r="M20" i="49"/>
  <c r="O19" i="49"/>
  <c r="N19" i="49"/>
  <c r="M19" i="49"/>
  <c r="O12" i="49"/>
  <c r="N12" i="49"/>
  <c r="M12" i="49"/>
  <c r="O11" i="49"/>
  <c r="N11" i="49"/>
  <c r="M11" i="49"/>
  <c r="O6" i="49"/>
  <c r="N6" i="49"/>
  <c r="M6" i="49"/>
  <c r="O5" i="49"/>
  <c r="N5" i="49"/>
  <c r="M5" i="49"/>
  <c r="L62" i="50"/>
  <c r="K62" i="50"/>
  <c r="J62" i="50"/>
  <c r="I62" i="50"/>
  <c r="H62" i="50"/>
  <c r="G62" i="50"/>
  <c r="F62" i="50"/>
  <c r="F62" i="43" s="1"/>
  <c r="E62" i="50"/>
  <c r="D62" i="50"/>
  <c r="N62" i="50" s="1"/>
  <c r="C62" i="50"/>
  <c r="M62" i="50" s="1"/>
  <c r="O61" i="50"/>
  <c r="N61" i="50"/>
  <c r="M61" i="50"/>
  <c r="O59" i="50"/>
  <c r="N59" i="50"/>
  <c r="M59" i="50"/>
  <c r="O58" i="50"/>
  <c r="N58" i="50"/>
  <c r="M58" i="50"/>
  <c r="O57" i="50"/>
  <c r="N57" i="50"/>
  <c r="M57" i="50"/>
  <c r="O55" i="50"/>
  <c r="N55" i="50"/>
  <c r="M55" i="50"/>
  <c r="O53" i="50"/>
  <c r="N53" i="50"/>
  <c r="M53" i="50"/>
  <c r="O52" i="50"/>
  <c r="N52" i="50"/>
  <c r="M52" i="50"/>
  <c r="O51" i="50"/>
  <c r="N51" i="50"/>
  <c r="M51" i="50"/>
  <c r="L50" i="50"/>
  <c r="K50" i="50"/>
  <c r="J50" i="50"/>
  <c r="I50" i="50"/>
  <c r="H50" i="50"/>
  <c r="G50" i="50"/>
  <c r="G54" i="50" s="1"/>
  <c r="G63" i="50" s="1"/>
  <c r="F50" i="50"/>
  <c r="F50" i="43" s="1"/>
  <c r="E50" i="50"/>
  <c r="D50" i="50"/>
  <c r="C50" i="50"/>
  <c r="O48" i="50"/>
  <c r="N48" i="50"/>
  <c r="M48" i="50"/>
  <c r="O43" i="50"/>
  <c r="N43" i="50"/>
  <c r="M43" i="50"/>
  <c r="O42" i="50"/>
  <c r="N42" i="50"/>
  <c r="M42" i="50"/>
  <c r="O41" i="50"/>
  <c r="N41" i="50"/>
  <c r="M41" i="50"/>
  <c r="O40" i="50"/>
  <c r="N40" i="50"/>
  <c r="M40" i="50"/>
  <c r="O39" i="50"/>
  <c r="N39" i="50"/>
  <c r="M39" i="50"/>
  <c r="L38" i="50"/>
  <c r="L54" i="50" s="1"/>
  <c r="K38" i="50"/>
  <c r="K54" i="50" s="1"/>
  <c r="K63" i="50" s="1"/>
  <c r="J38" i="50"/>
  <c r="J54" i="50" s="1"/>
  <c r="J63" i="50" s="1"/>
  <c r="I38" i="50"/>
  <c r="I54" i="50" s="1"/>
  <c r="I63" i="50" s="1"/>
  <c r="H38" i="50"/>
  <c r="F38" i="50"/>
  <c r="E38" i="50"/>
  <c r="D38" i="50"/>
  <c r="C38" i="50"/>
  <c r="C54" i="50" s="1"/>
  <c r="L33" i="50"/>
  <c r="O33" i="50" s="1"/>
  <c r="K33" i="50"/>
  <c r="J33" i="50"/>
  <c r="I33" i="50"/>
  <c r="H33" i="50"/>
  <c r="G33" i="50"/>
  <c r="G34" i="50" s="1"/>
  <c r="F33" i="50"/>
  <c r="F33" i="43" s="1"/>
  <c r="D33" i="50"/>
  <c r="N33" i="50" s="1"/>
  <c r="O32" i="50"/>
  <c r="N32" i="50"/>
  <c r="M32" i="50"/>
  <c r="O31" i="50"/>
  <c r="N31" i="50"/>
  <c r="M31" i="50"/>
  <c r="O29" i="50"/>
  <c r="N29" i="50"/>
  <c r="M29" i="50"/>
  <c r="O28" i="50"/>
  <c r="N28" i="50"/>
  <c r="C28" i="50"/>
  <c r="C33" i="50" s="1"/>
  <c r="O27" i="50"/>
  <c r="N27" i="50"/>
  <c r="M27" i="50"/>
  <c r="O26" i="50"/>
  <c r="N26" i="50"/>
  <c r="M26" i="50"/>
  <c r="O24" i="50"/>
  <c r="N24" i="50"/>
  <c r="M24" i="50"/>
  <c r="L23" i="50"/>
  <c r="K23" i="50"/>
  <c r="J23" i="50"/>
  <c r="I23" i="50"/>
  <c r="H23" i="50"/>
  <c r="H34" i="50" s="1"/>
  <c r="F23" i="50"/>
  <c r="F34" i="50" s="1"/>
  <c r="F34" i="43" s="1"/>
  <c r="E23" i="50"/>
  <c r="D23" i="50"/>
  <c r="C23" i="50"/>
  <c r="O22" i="50"/>
  <c r="N22" i="50"/>
  <c r="M22" i="50"/>
  <c r="O21" i="50"/>
  <c r="N21" i="50"/>
  <c r="M21" i="50"/>
  <c r="O20" i="50"/>
  <c r="N20" i="50"/>
  <c r="M20" i="50"/>
  <c r="O19" i="50"/>
  <c r="N19" i="50"/>
  <c r="M19" i="50"/>
  <c r="O12" i="50"/>
  <c r="N12" i="50"/>
  <c r="M12" i="50"/>
  <c r="O11" i="50"/>
  <c r="N11" i="50"/>
  <c r="M11" i="50"/>
  <c r="O6" i="50"/>
  <c r="N6" i="50"/>
  <c r="M6" i="50"/>
  <c r="O5" i="50"/>
  <c r="N5" i="50"/>
  <c r="M5" i="50"/>
  <c r="L63" i="50" l="1"/>
  <c r="G54" i="49"/>
  <c r="G63" i="49" s="1"/>
  <c r="J54" i="47"/>
  <c r="I38" i="43"/>
  <c r="K34" i="50"/>
  <c r="L34" i="50"/>
  <c r="L64" i="50" s="1"/>
  <c r="N62" i="49"/>
  <c r="K34" i="48"/>
  <c r="K54" i="48"/>
  <c r="K63" i="48" s="1"/>
  <c r="M50" i="48"/>
  <c r="K63" i="47"/>
  <c r="K64" i="47" s="1"/>
  <c r="L34" i="44"/>
  <c r="J54" i="44"/>
  <c r="J63" i="44" s="1"/>
  <c r="G34" i="49"/>
  <c r="G64" i="49" s="1"/>
  <c r="H34" i="47"/>
  <c r="K63" i="46"/>
  <c r="D34" i="45"/>
  <c r="M33" i="50"/>
  <c r="F54" i="50"/>
  <c r="F63" i="50" s="1"/>
  <c r="F63" i="43" s="1"/>
  <c r="M50" i="50"/>
  <c r="J54" i="49"/>
  <c r="I34" i="46"/>
  <c r="I23" i="43"/>
  <c r="C54" i="45"/>
  <c r="K50" i="43"/>
  <c r="N33" i="44"/>
  <c r="M38" i="44"/>
  <c r="L63" i="44"/>
  <c r="O62" i="45"/>
  <c r="H54" i="50"/>
  <c r="H63" i="50" s="1"/>
  <c r="N50" i="50"/>
  <c r="N38" i="45"/>
  <c r="G34" i="44"/>
  <c r="O33" i="44"/>
  <c r="N38" i="44"/>
  <c r="M50" i="44"/>
  <c r="G63" i="47"/>
  <c r="H34" i="44"/>
  <c r="E54" i="44"/>
  <c r="O38" i="44"/>
  <c r="E34" i="45"/>
  <c r="N50" i="48"/>
  <c r="M62" i="48"/>
  <c r="M23" i="47"/>
  <c r="D63" i="47"/>
  <c r="M23" i="46"/>
  <c r="H34" i="46"/>
  <c r="H23" i="43"/>
  <c r="L34" i="46"/>
  <c r="N62" i="46"/>
  <c r="G23" i="43"/>
  <c r="L54" i="45"/>
  <c r="M28" i="49"/>
  <c r="N33" i="49"/>
  <c r="K54" i="49"/>
  <c r="K63" i="49" s="1"/>
  <c r="M50" i="49"/>
  <c r="K62" i="43"/>
  <c r="I54" i="44"/>
  <c r="I63" i="44" s="1"/>
  <c r="I64" i="44" s="1"/>
  <c r="H64" i="50"/>
  <c r="C33" i="46"/>
  <c r="D28" i="46"/>
  <c r="E28" i="46" s="1"/>
  <c r="L34" i="45"/>
  <c r="N62" i="45"/>
  <c r="D6" i="44"/>
  <c r="J64" i="44"/>
  <c r="C6" i="43"/>
  <c r="J34" i="47"/>
  <c r="H38" i="43"/>
  <c r="C23" i="44"/>
  <c r="M23" i="44" s="1"/>
  <c r="K33" i="43"/>
  <c r="G64" i="44"/>
  <c r="K64" i="44"/>
  <c r="C54" i="44"/>
  <c r="D34" i="47"/>
  <c r="D54" i="44"/>
  <c r="G38" i="43"/>
  <c r="M23" i="50"/>
  <c r="D54" i="50"/>
  <c r="N54" i="50" s="1"/>
  <c r="O50" i="50"/>
  <c r="O62" i="50"/>
  <c r="M23" i="49"/>
  <c r="O33" i="49"/>
  <c r="H54" i="49"/>
  <c r="H63" i="49" s="1"/>
  <c r="H64" i="49" s="1"/>
  <c r="N50" i="49"/>
  <c r="D34" i="48"/>
  <c r="N34" i="48" s="1"/>
  <c r="O33" i="48"/>
  <c r="D54" i="48"/>
  <c r="D63" i="48" s="1"/>
  <c r="N63" i="48" s="1"/>
  <c r="N62" i="48"/>
  <c r="N50" i="47"/>
  <c r="N23" i="46"/>
  <c r="H54" i="46"/>
  <c r="O62" i="46"/>
  <c r="C33" i="44"/>
  <c r="M33" i="44" s="1"/>
  <c r="H63" i="44"/>
  <c r="H64" i="44" s="1"/>
  <c r="K54" i="43"/>
  <c r="N23" i="50"/>
  <c r="I34" i="50"/>
  <c r="I64" i="50" s="1"/>
  <c r="E54" i="50"/>
  <c r="E63" i="50" s="1"/>
  <c r="N23" i="49"/>
  <c r="I34" i="49"/>
  <c r="I64" i="49" s="1"/>
  <c r="N38" i="49"/>
  <c r="I54" i="49"/>
  <c r="I63" i="49" s="1"/>
  <c r="O50" i="49"/>
  <c r="D54" i="49"/>
  <c r="D63" i="49" s="1"/>
  <c r="M62" i="49"/>
  <c r="E34" i="48"/>
  <c r="J34" i="48"/>
  <c r="J54" i="48"/>
  <c r="J63" i="48" s="1"/>
  <c r="J64" i="48" s="1"/>
  <c r="O62" i="48"/>
  <c r="E34" i="47"/>
  <c r="O34" i="47" s="1"/>
  <c r="C33" i="47"/>
  <c r="M33" i="47" s="1"/>
  <c r="N33" i="47"/>
  <c r="I54" i="47"/>
  <c r="I63" i="47" s="1"/>
  <c r="O50" i="47"/>
  <c r="M62" i="47"/>
  <c r="O62" i="47"/>
  <c r="O23" i="46"/>
  <c r="J34" i="46"/>
  <c r="N38" i="46"/>
  <c r="I54" i="46"/>
  <c r="O50" i="46"/>
  <c r="D54" i="46"/>
  <c r="D63" i="46" s="1"/>
  <c r="G63" i="45"/>
  <c r="L64" i="48"/>
  <c r="L64" i="44"/>
  <c r="C54" i="49"/>
  <c r="L54" i="49"/>
  <c r="L63" i="49" s="1"/>
  <c r="L64" i="49" s="1"/>
  <c r="I34" i="48"/>
  <c r="I54" i="48"/>
  <c r="I63" i="48" s="1"/>
  <c r="O50" i="48"/>
  <c r="H54" i="47"/>
  <c r="H63" i="47" s="1"/>
  <c r="C54" i="46"/>
  <c r="C63" i="46" s="1"/>
  <c r="L54" i="46"/>
  <c r="L63" i="46" s="1"/>
  <c r="L64" i="46" s="1"/>
  <c r="N50" i="46"/>
  <c r="M23" i="45"/>
  <c r="O50" i="45"/>
  <c r="O23" i="50"/>
  <c r="J34" i="50"/>
  <c r="K64" i="50"/>
  <c r="O23" i="49"/>
  <c r="J34" i="49"/>
  <c r="O38" i="49"/>
  <c r="J63" i="49"/>
  <c r="J64" i="49" s="1"/>
  <c r="G34" i="47"/>
  <c r="G64" i="47" s="1"/>
  <c r="K34" i="47"/>
  <c r="C54" i="47"/>
  <c r="J63" i="47"/>
  <c r="G34" i="46"/>
  <c r="G64" i="46" s="1"/>
  <c r="K34" i="46"/>
  <c r="K34" i="43" s="1"/>
  <c r="O38" i="46"/>
  <c r="J63" i="46"/>
  <c r="J64" i="46" s="1"/>
  <c r="M62" i="46"/>
  <c r="F23" i="43"/>
  <c r="K23" i="43"/>
  <c r="F38" i="43"/>
  <c r="K38" i="43"/>
  <c r="F64" i="43"/>
  <c r="F11" i="61"/>
  <c r="G34" i="45"/>
  <c r="E54" i="45"/>
  <c r="M62" i="45"/>
  <c r="O38" i="45"/>
  <c r="D54" i="45"/>
  <c r="N23" i="45"/>
  <c r="O23" i="45"/>
  <c r="K63" i="45"/>
  <c r="M54" i="45"/>
  <c r="C63" i="45"/>
  <c r="M33" i="45"/>
  <c r="C34" i="45"/>
  <c r="M34" i="45" s="1"/>
  <c r="M28" i="45"/>
  <c r="M38" i="45"/>
  <c r="M54" i="46"/>
  <c r="M33" i="46"/>
  <c r="C34" i="46"/>
  <c r="K64" i="46"/>
  <c r="E54" i="46"/>
  <c r="M38" i="46"/>
  <c r="L64" i="47"/>
  <c r="C63" i="47"/>
  <c r="M54" i="47"/>
  <c r="H64" i="47"/>
  <c r="I64" i="47"/>
  <c r="N23" i="47"/>
  <c r="N38" i="47"/>
  <c r="O23" i="47"/>
  <c r="O38" i="47"/>
  <c r="E54" i="47"/>
  <c r="N54" i="47"/>
  <c r="C34" i="47"/>
  <c r="M38" i="47"/>
  <c r="K64" i="48"/>
  <c r="E54" i="48"/>
  <c r="O38" i="48"/>
  <c r="G64" i="48"/>
  <c r="C54" i="48"/>
  <c r="C63" i="48" s="1"/>
  <c r="M63" i="48" s="1"/>
  <c r="N38" i="48"/>
  <c r="C33" i="48"/>
  <c r="M33" i="48" s="1"/>
  <c r="N23" i="48"/>
  <c r="O23" i="48"/>
  <c r="H64" i="48"/>
  <c r="K64" i="49"/>
  <c r="M54" i="49"/>
  <c r="C63" i="49"/>
  <c r="C34" i="49"/>
  <c r="M33" i="49"/>
  <c r="D34" i="49"/>
  <c r="N34" i="49" s="1"/>
  <c r="E54" i="49"/>
  <c r="E34" i="49"/>
  <c r="M38" i="49"/>
  <c r="J64" i="50"/>
  <c r="G64" i="50"/>
  <c r="M54" i="50"/>
  <c r="C63" i="50"/>
  <c r="M38" i="50"/>
  <c r="M28" i="50"/>
  <c r="N38" i="50"/>
  <c r="C34" i="50"/>
  <c r="M34" i="50" s="1"/>
  <c r="O38" i="50"/>
  <c r="D34" i="50"/>
  <c r="E34" i="50"/>
  <c r="I63" i="46" l="1"/>
  <c r="C63" i="44"/>
  <c r="M63" i="44" s="1"/>
  <c r="M54" i="44"/>
  <c r="O34" i="45"/>
  <c r="N63" i="49"/>
  <c r="N64" i="49" s="1"/>
  <c r="F64" i="50"/>
  <c r="E33" i="46"/>
  <c r="O28" i="46"/>
  <c r="O34" i="50"/>
  <c r="N63" i="47"/>
  <c r="N34" i="50"/>
  <c r="I64" i="48"/>
  <c r="J64" i="47"/>
  <c r="M34" i="49"/>
  <c r="F54" i="43"/>
  <c r="D63" i="44"/>
  <c r="N63" i="44" s="1"/>
  <c r="N54" i="44"/>
  <c r="E63" i="44"/>
  <c r="O63" i="44" s="1"/>
  <c r="O54" i="44"/>
  <c r="C34" i="44"/>
  <c r="M34" i="44" s="1"/>
  <c r="M64" i="44" s="1"/>
  <c r="E6" i="44"/>
  <c r="N6" i="44"/>
  <c r="E64" i="50"/>
  <c r="O54" i="50"/>
  <c r="G64" i="45"/>
  <c r="D64" i="47"/>
  <c r="L63" i="45"/>
  <c r="D33" i="46"/>
  <c r="N28" i="46"/>
  <c r="H63" i="46"/>
  <c r="D6" i="43"/>
  <c r="D23" i="44"/>
  <c r="N23" i="44" s="1"/>
  <c r="N34" i="45"/>
  <c r="N63" i="46"/>
  <c r="N34" i="47"/>
  <c r="N64" i="47" s="1"/>
  <c r="N64" i="48"/>
  <c r="N54" i="49"/>
  <c r="D63" i="50"/>
  <c r="D64" i="50" s="1"/>
  <c r="M34" i="47"/>
  <c r="D64" i="48"/>
  <c r="H64" i="46"/>
  <c r="K64" i="45"/>
  <c r="K63" i="43"/>
  <c r="K64" i="43" s="1"/>
  <c r="O34" i="48"/>
  <c r="N54" i="46"/>
  <c r="O34" i="49"/>
  <c r="N54" i="48"/>
  <c r="M34" i="46"/>
  <c r="D63" i="45"/>
  <c r="N54" i="45"/>
  <c r="E63" i="45"/>
  <c r="O54" i="45"/>
  <c r="C64" i="45"/>
  <c r="M63" i="45"/>
  <c r="M64" i="45" s="1"/>
  <c r="O54" i="46"/>
  <c r="E63" i="46"/>
  <c r="M63" i="46"/>
  <c r="C64" i="46"/>
  <c r="M63" i="47"/>
  <c r="M64" i="47" s="1"/>
  <c r="C64" i="47"/>
  <c r="O54" i="47"/>
  <c r="E63" i="47"/>
  <c r="O63" i="47" s="1"/>
  <c r="M54" i="48"/>
  <c r="C34" i="48"/>
  <c r="M34" i="48" s="1"/>
  <c r="M64" i="48" s="1"/>
  <c r="E63" i="48"/>
  <c r="O54" i="48"/>
  <c r="E63" i="49"/>
  <c r="O54" i="49"/>
  <c r="M63" i="49"/>
  <c r="M64" i="49" s="1"/>
  <c r="C64" i="49"/>
  <c r="D64" i="49"/>
  <c r="M63" i="50"/>
  <c r="M64" i="50" s="1"/>
  <c r="C64" i="50"/>
  <c r="O63" i="50"/>
  <c r="O64" i="50" s="1"/>
  <c r="O33" i="46" l="1"/>
  <c r="E34" i="46"/>
  <c r="O34" i="46" s="1"/>
  <c r="I64" i="46"/>
  <c r="E64" i="49"/>
  <c r="E65" i="49"/>
  <c r="C64" i="44"/>
  <c r="O6" i="44"/>
  <c r="E6" i="43"/>
  <c r="E23" i="44"/>
  <c r="N33" i="46"/>
  <c r="D34" i="46"/>
  <c r="C64" i="48"/>
  <c r="L64" i="45"/>
  <c r="D34" i="44"/>
  <c r="N34" i="44" s="1"/>
  <c r="N63" i="50"/>
  <c r="N64" i="50" s="1"/>
  <c r="M64" i="46"/>
  <c r="O63" i="45"/>
  <c r="O64" i="45" s="1"/>
  <c r="E64" i="45"/>
  <c r="E65" i="45"/>
  <c r="N63" i="45"/>
  <c r="N64" i="45" s="1"/>
  <c r="D64" i="45"/>
  <c r="D65" i="45"/>
  <c r="E65" i="46"/>
  <c r="E64" i="46"/>
  <c r="O63" i="46"/>
  <c r="O64" i="46" s="1"/>
  <c r="E65" i="47"/>
  <c r="E64" i="47"/>
  <c r="O64" i="47"/>
  <c r="O63" i="48"/>
  <c r="O64" i="48" s="1"/>
  <c r="E64" i="48"/>
  <c r="E65" i="48"/>
  <c r="O63" i="49"/>
  <c r="O64" i="49" s="1"/>
  <c r="O23" i="44" l="1"/>
  <c r="E34" i="44"/>
  <c r="N34" i="46"/>
  <c r="N64" i="46" s="1"/>
  <c r="D64" i="46"/>
  <c r="N64" i="44"/>
  <c r="D64" i="44"/>
  <c r="O34" i="44" l="1"/>
  <c r="O64" i="44" s="1"/>
  <c r="E64" i="44"/>
  <c r="E65" i="44"/>
  <c r="F64" i="7"/>
  <c r="K64" i="7"/>
  <c r="C28" i="7" l="1"/>
  <c r="C28" i="43" l="1"/>
  <c r="D44" i="13"/>
  <c r="E49" i="13"/>
  <c r="D32" i="13"/>
  <c r="C29" i="13"/>
  <c r="C50" i="13" s="1"/>
  <c r="C52" i="13" s="1"/>
  <c r="D6" i="13" l="1"/>
  <c r="K64" i="19"/>
  <c r="G64" i="19"/>
  <c r="C64" i="19"/>
  <c r="L63" i="19"/>
  <c r="K63" i="19"/>
  <c r="J63" i="19"/>
  <c r="I63" i="19"/>
  <c r="H63" i="19"/>
  <c r="G63" i="19"/>
  <c r="F63" i="19"/>
  <c r="E63" i="19"/>
  <c r="D63" i="19"/>
  <c r="C63" i="19"/>
  <c r="K62" i="19"/>
  <c r="K67" i="19" s="1"/>
  <c r="G62" i="19"/>
  <c r="G67" i="19" s="1"/>
  <c r="C62" i="19"/>
  <c r="C67" i="19" s="1"/>
  <c r="K61" i="19"/>
  <c r="G61" i="19"/>
  <c r="C61" i="19"/>
  <c r="K60" i="19"/>
  <c r="G60" i="19"/>
  <c r="C60" i="19"/>
  <c r="Q20" i="17" s="1"/>
  <c r="L59" i="19"/>
  <c r="K59" i="19"/>
  <c r="J59" i="19"/>
  <c r="I59" i="19"/>
  <c r="H59" i="19"/>
  <c r="G59" i="19"/>
  <c r="F59" i="19"/>
  <c r="E59" i="19"/>
  <c r="S13" i="17" s="1"/>
  <c r="D59" i="19"/>
  <c r="R13" i="17" s="1"/>
  <c r="C59" i="19"/>
  <c r="K58" i="19"/>
  <c r="G58" i="19"/>
  <c r="C58" i="19"/>
  <c r="K56" i="19"/>
  <c r="G56" i="19"/>
  <c r="C56" i="19"/>
  <c r="K55" i="19"/>
  <c r="G55" i="19"/>
  <c r="C55" i="19"/>
  <c r="K54" i="19"/>
  <c r="G54" i="19"/>
  <c r="L52" i="19"/>
  <c r="K52" i="19"/>
  <c r="J52" i="19"/>
  <c r="I52" i="19"/>
  <c r="H52" i="19"/>
  <c r="G52" i="19"/>
  <c r="F52" i="19"/>
  <c r="E52" i="19"/>
  <c r="D52" i="19"/>
  <c r="C52" i="19"/>
  <c r="K51" i="19"/>
  <c r="G51" i="19"/>
  <c r="C51" i="19"/>
  <c r="L50" i="19"/>
  <c r="K50" i="19"/>
  <c r="J50" i="19"/>
  <c r="I50" i="19"/>
  <c r="H50" i="19"/>
  <c r="G50" i="19"/>
  <c r="F50" i="19"/>
  <c r="E50" i="19"/>
  <c r="D50" i="19"/>
  <c r="C50" i="19"/>
  <c r="L49" i="19"/>
  <c r="K49" i="19"/>
  <c r="J49" i="19"/>
  <c r="I49" i="19"/>
  <c r="H49" i="19"/>
  <c r="G49" i="19"/>
  <c r="F49" i="19"/>
  <c r="E49" i="19"/>
  <c r="D49" i="19"/>
  <c r="C49" i="19"/>
  <c r="I48" i="19"/>
  <c r="H48" i="19"/>
  <c r="E48" i="19"/>
  <c r="D48" i="19"/>
  <c r="L47" i="19"/>
  <c r="K47" i="19"/>
  <c r="J47" i="19"/>
  <c r="I47" i="19"/>
  <c r="H47" i="19"/>
  <c r="G47" i="19"/>
  <c r="F47" i="19"/>
  <c r="E47" i="19"/>
  <c r="D47" i="19"/>
  <c r="C47" i="19"/>
  <c r="G45" i="19"/>
  <c r="T8" i="17" s="1"/>
  <c r="C45" i="19"/>
  <c r="G44" i="19"/>
  <c r="G43" i="19"/>
  <c r="G42" i="19"/>
  <c r="K32" i="19"/>
  <c r="G32" i="19"/>
  <c r="C32" i="19"/>
  <c r="K31" i="19"/>
  <c r="G31" i="19"/>
  <c r="C31" i="19"/>
  <c r="C20" i="17" s="1"/>
  <c r="K20" i="17" s="1"/>
  <c r="L30" i="19"/>
  <c r="K30" i="19"/>
  <c r="J30" i="19"/>
  <c r="I30" i="19"/>
  <c r="H30" i="19"/>
  <c r="G30" i="19"/>
  <c r="F30" i="19"/>
  <c r="E30" i="19"/>
  <c r="D30" i="19"/>
  <c r="C30" i="19"/>
  <c r="K29" i="19"/>
  <c r="G29" i="19"/>
  <c r="K28" i="19"/>
  <c r="K35" i="19" s="1"/>
  <c r="G28" i="19"/>
  <c r="G35" i="19" s="1"/>
  <c r="K27" i="19"/>
  <c r="G27" i="19"/>
  <c r="C27" i="19"/>
  <c r="K26" i="19"/>
  <c r="G26" i="19"/>
  <c r="C26" i="19"/>
  <c r="L25" i="19"/>
  <c r="K25" i="19"/>
  <c r="J25" i="19"/>
  <c r="I25" i="19"/>
  <c r="H25" i="19"/>
  <c r="G25" i="19"/>
  <c r="F25" i="19"/>
  <c r="E25" i="19"/>
  <c r="D25" i="19"/>
  <c r="C25" i="19"/>
  <c r="C18" i="17" s="1"/>
  <c r="C17" i="17" s="1"/>
  <c r="K24" i="19"/>
  <c r="G24" i="19"/>
  <c r="C24" i="19"/>
  <c r="K22" i="19"/>
  <c r="G22" i="19"/>
  <c r="C22" i="19"/>
  <c r="K21" i="19"/>
  <c r="G21" i="19"/>
  <c r="F8" i="17" s="1"/>
  <c r="C21" i="19"/>
  <c r="K20" i="19"/>
  <c r="G20" i="19"/>
  <c r="C20" i="19"/>
  <c r="K19" i="19"/>
  <c r="G19" i="19"/>
  <c r="F9" i="17" s="1"/>
  <c r="L18" i="19"/>
  <c r="K18" i="19"/>
  <c r="J18" i="19"/>
  <c r="I18" i="19"/>
  <c r="H18" i="19"/>
  <c r="G18" i="19"/>
  <c r="F18" i="19"/>
  <c r="C18" i="19"/>
  <c r="L17" i="19"/>
  <c r="K17" i="19"/>
  <c r="J17" i="19"/>
  <c r="I17" i="19"/>
  <c r="H17" i="19"/>
  <c r="G17" i="19"/>
  <c r="F17" i="19"/>
  <c r="C17" i="19"/>
  <c r="L16" i="19"/>
  <c r="K16" i="19"/>
  <c r="J16" i="19"/>
  <c r="I16" i="19"/>
  <c r="H16" i="19"/>
  <c r="G16" i="19"/>
  <c r="F16" i="19"/>
  <c r="E16" i="19"/>
  <c r="D16" i="19"/>
  <c r="C16" i="19"/>
  <c r="L15" i="19"/>
  <c r="K15" i="19"/>
  <c r="J15" i="19"/>
  <c r="G15" i="19"/>
  <c r="F15" i="19"/>
  <c r="L14" i="19"/>
  <c r="K14" i="19"/>
  <c r="J14" i="19"/>
  <c r="I14" i="19"/>
  <c r="H14" i="19"/>
  <c r="G14" i="19"/>
  <c r="F14" i="19"/>
  <c r="C14" i="19"/>
  <c r="L13" i="19"/>
  <c r="K13" i="19"/>
  <c r="J13" i="19"/>
  <c r="I13" i="19"/>
  <c r="H13" i="19"/>
  <c r="G13" i="19"/>
  <c r="F13" i="19"/>
  <c r="C13" i="19"/>
  <c r="K12" i="19"/>
  <c r="G12" i="19"/>
  <c r="F7" i="17" s="1"/>
  <c r="K11" i="19"/>
  <c r="G11" i="19"/>
  <c r="C11" i="19"/>
  <c r="AE5" i="17" s="1"/>
  <c r="L10" i="19"/>
  <c r="K10" i="19"/>
  <c r="J10" i="19"/>
  <c r="I10" i="19"/>
  <c r="H10" i="19"/>
  <c r="G10" i="19"/>
  <c r="F10" i="19"/>
  <c r="C10" i="19"/>
  <c r="L9" i="19"/>
  <c r="K9" i="19"/>
  <c r="J9" i="19"/>
  <c r="I9" i="19"/>
  <c r="H9" i="19"/>
  <c r="G9" i="19"/>
  <c r="F9" i="19"/>
  <c r="E9" i="19"/>
  <c r="D9" i="19"/>
  <c r="C9" i="19"/>
  <c r="L8" i="19"/>
  <c r="K8" i="19"/>
  <c r="J8" i="19"/>
  <c r="I8" i="19"/>
  <c r="H8" i="19"/>
  <c r="G8" i="19"/>
  <c r="F8" i="19"/>
  <c r="E8" i="19"/>
  <c r="D8" i="19"/>
  <c r="C8" i="19"/>
  <c r="L7" i="19"/>
  <c r="J7" i="19"/>
  <c r="F7" i="19"/>
  <c r="K6" i="19"/>
  <c r="G6" i="19"/>
  <c r="F6" i="17" s="1"/>
  <c r="K5" i="19"/>
  <c r="G5" i="19"/>
  <c r="F5" i="17" s="1"/>
  <c r="C5" i="19"/>
  <c r="M36" i="19"/>
  <c r="N36" i="19"/>
  <c r="O36" i="19"/>
  <c r="C36" i="34" s="1"/>
  <c r="L64" i="19"/>
  <c r="J64" i="19"/>
  <c r="I64" i="19"/>
  <c r="H64" i="19"/>
  <c r="F64" i="19"/>
  <c r="E64" i="19"/>
  <c r="D64" i="19"/>
  <c r="L62" i="19"/>
  <c r="J62" i="19"/>
  <c r="J67" i="19" s="1"/>
  <c r="I62" i="19"/>
  <c r="H62" i="19"/>
  <c r="F62" i="19"/>
  <c r="F67" i="19" s="1"/>
  <c r="D62" i="19"/>
  <c r="D67" i="19" s="1"/>
  <c r="L61" i="19"/>
  <c r="J61" i="19"/>
  <c r="I61" i="19"/>
  <c r="H61" i="19"/>
  <c r="F61" i="19"/>
  <c r="E61" i="19"/>
  <c r="D61" i="19"/>
  <c r="L60" i="19"/>
  <c r="X20" i="17" s="1"/>
  <c r="X23" i="17" s="1"/>
  <c r="J60" i="19"/>
  <c r="I60" i="19"/>
  <c r="V20" i="17" s="1"/>
  <c r="V23" i="17" s="1"/>
  <c r="H60" i="19"/>
  <c r="U20" i="17" s="1"/>
  <c r="U23" i="17" s="1"/>
  <c r="F60" i="19"/>
  <c r="E60" i="19"/>
  <c r="S20" i="17" s="1"/>
  <c r="AA20" i="17" s="1"/>
  <c r="D60" i="19"/>
  <c r="R20" i="17" s="1"/>
  <c r="Z20" i="17" s="1"/>
  <c r="L58" i="19"/>
  <c r="AZ15" i="17" s="1"/>
  <c r="AZ23" i="17" s="1"/>
  <c r="J58" i="19"/>
  <c r="I58" i="19"/>
  <c r="AX15" i="17" s="1"/>
  <c r="AX23" i="17" s="1"/>
  <c r="H58" i="19"/>
  <c r="AW15" i="17" s="1"/>
  <c r="AW23" i="17" s="1"/>
  <c r="F58" i="19"/>
  <c r="E58" i="19"/>
  <c r="AU15" i="17" s="1"/>
  <c r="D58" i="19"/>
  <c r="AT15" i="17" s="1"/>
  <c r="L56" i="19"/>
  <c r="J56" i="19"/>
  <c r="I56" i="19"/>
  <c r="AX7" i="17" s="1"/>
  <c r="H56" i="19"/>
  <c r="AW7" i="17" s="1"/>
  <c r="F56" i="19"/>
  <c r="E56" i="19"/>
  <c r="AU7" i="17" s="1"/>
  <c r="D56" i="19"/>
  <c r="AT7" i="17" s="1"/>
  <c r="L55" i="19"/>
  <c r="J55" i="19"/>
  <c r="I55" i="19"/>
  <c r="AX6" i="17" s="1"/>
  <c r="H55" i="19"/>
  <c r="AW6" i="17" s="1"/>
  <c r="F55" i="19"/>
  <c r="E55" i="19"/>
  <c r="AU6" i="17" s="1"/>
  <c r="D55" i="19"/>
  <c r="AT6" i="17" s="1"/>
  <c r="L54" i="19"/>
  <c r="J54" i="19"/>
  <c r="I54" i="19"/>
  <c r="AX5" i="17" s="1"/>
  <c r="AX11" i="17" s="1"/>
  <c r="AX24" i="17" s="1"/>
  <c r="AX26" i="17" s="1"/>
  <c r="H54" i="19"/>
  <c r="AW5" i="17" s="1"/>
  <c r="AW11" i="17" s="1"/>
  <c r="F54" i="19"/>
  <c r="E54" i="19"/>
  <c r="AU5" i="17" s="1"/>
  <c r="D54" i="19"/>
  <c r="AT5" i="17" s="1"/>
  <c r="AT11" i="17" s="1"/>
  <c r="C54" i="19"/>
  <c r="L51" i="19"/>
  <c r="J51" i="19"/>
  <c r="I51" i="19"/>
  <c r="H51" i="19"/>
  <c r="F51" i="19"/>
  <c r="D51" i="19"/>
  <c r="L46" i="19"/>
  <c r="J46" i="19"/>
  <c r="I46" i="19"/>
  <c r="V9" i="17" s="1"/>
  <c r="H46" i="19"/>
  <c r="U9" i="17" s="1"/>
  <c r="F46" i="19"/>
  <c r="E46" i="19"/>
  <c r="S9" i="17" s="1"/>
  <c r="D46" i="19"/>
  <c r="R9" i="17" s="1"/>
  <c r="L45" i="19"/>
  <c r="J45" i="19"/>
  <c r="I45" i="19"/>
  <c r="V8" i="17" s="1"/>
  <c r="H45" i="19"/>
  <c r="U8" i="17" s="1"/>
  <c r="F45" i="19"/>
  <c r="E45" i="19"/>
  <c r="S8" i="17" s="1"/>
  <c r="D45" i="19"/>
  <c r="R8" i="17" s="1"/>
  <c r="L44" i="19"/>
  <c r="J44" i="19"/>
  <c r="I44" i="19"/>
  <c r="V7" i="17" s="1"/>
  <c r="H44" i="19"/>
  <c r="U7" i="17" s="1"/>
  <c r="F44" i="19"/>
  <c r="C44" i="19"/>
  <c r="L43" i="19"/>
  <c r="J43" i="19"/>
  <c r="I43" i="19"/>
  <c r="V6" i="17" s="1"/>
  <c r="H43" i="19"/>
  <c r="U6" i="17" s="1"/>
  <c r="F43" i="19"/>
  <c r="E43" i="19"/>
  <c r="S6" i="17" s="1"/>
  <c r="C43" i="19"/>
  <c r="L42" i="19"/>
  <c r="J42" i="19"/>
  <c r="I42" i="19"/>
  <c r="V5" i="17" s="1"/>
  <c r="H42" i="19"/>
  <c r="U5" i="17" s="1"/>
  <c r="F42" i="19"/>
  <c r="C42" i="19"/>
  <c r="L32" i="19"/>
  <c r="J32" i="19"/>
  <c r="I32" i="19"/>
  <c r="H32" i="19"/>
  <c r="F32" i="19"/>
  <c r="E32" i="19"/>
  <c r="D32" i="19"/>
  <c r="L31" i="19"/>
  <c r="J31" i="19"/>
  <c r="I31" i="19"/>
  <c r="H31" i="19"/>
  <c r="F31" i="19"/>
  <c r="E31" i="19"/>
  <c r="D31" i="19"/>
  <c r="L29" i="19"/>
  <c r="J29" i="19"/>
  <c r="I29" i="19"/>
  <c r="H29" i="19"/>
  <c r="F29" i="19"/>
  <c r="C29" i="19"/>
  <c r="L28" i="19"/>
  <c r="L35" i="19" s="1"/>
  <c r="J28" i="19"/>
  <c r="J35" i="19" s="1"/>
  <c r="I28" i="19"/>
  <c r="I35" i="19" s="1"/>
  <c r="H28" i="19"/>
  <c r="H35" i="19" s="1"/>
  <c r="F28" i="19"/>
  <c r="F35" i="19" s="1"/>
  <c r="C28" i="19"/>
  <c r="C35" i="19" s="1"/>
  <c r="L27" i="19"/>
  <c r="AL13" i="17" s="1"/>
  <c r="J27" i="19"/>
  <c r="I27" i="19"/>
  <c r="AJ13" i="17" s="1"/>
  <c r="H27" i="19"/>
  <c r="AI13" i="17" s="1"/>
  <c r="F27" i="19"/>
  <c r="E27" i="19"/>
  <c r="AG13" i="17" s="1"/>
  <c r="D27" i="19"/>
  <c r="AF13" i="17" s="1"/>
  <c r="L26" i="19"/>
  <c r="J26" i="19"/>
  <c r="I26" i="19"/>
  <c r="H26" i="19"/>
  <c r="F26" i="19"/>
  <c r="E26" i="19"/>
  <c r="D26" i="19"/>
  <c r="L24" i="19"/>
  <c r="AL18" i="17" s="1"/>
  <c r="AL17" i="17" s="1"/>
  <c r="J24" i="19"/>
  <c r="I24" i="19"/>
  <c r="AJ18" i="17" s="1"/>
  <c r="AJ17" i="17" s="1"/>
  <c r="H24" i="19"/>
  <c r="AI18" i="17" s="1"/>
  <c r="AI17" i="17" s="1"/>
  <c r="F24" i="19"/>
  <c r="E24" i="19"/>
  <c r="AG18" i="17" s="1"/>
  <c r="L22" i="19"/>
  <c r="J22" i="19"/>
  <c r="I22" i="19"/>
  <c r="H22" i="19"/>
  <c r="F22" i="19"/>
  <c r="E22" i="19"/>
  <c r="AG7" i="17" s="1"/>
  <c r="AO7" i="17" s="1"/>
  <c r="D22" i="19"/>
  <c r="AF7" i="17" s="1"/>
  <c r="AN7" i="17" s="1"/>
  <c r="L21" i="19"/>
  <c r="J21" i="19"/>
  <c r="I21" i="19"/>
  <c r="H21" i="19"/>
  <c r="G8" i="17" s="1"/>
  <c r="F21" i="19"/>
  <c r="E21" i="19"/>
  <c r="D21" i="19"/>
  <c r="L20" i="19"/>
  <c r="AL6" i="17" s="1"/>
  <c r="J20" i="19"/>
  <c r="I20" i="19"/>
  <c r="AJ6" i="17" s="1"/>
  <c r="H20" i="19"/>
  <c r="AI6" i="17" s="1"/>
  <c r="F20" i="19"/>
  <c r="E20" i="19"/>
  <c r="AG6" i="17" s="1"/>
  <c r="D20" i="19"/>
  <c r="AF6" i="17" s="1"/>
  <c r="AN6" i="17" s="1"/>
  <c r="L19" i="19"/>
  <c r="J19" i="19"/>
  <c r="I19" i="19"/>
  <c r="H19" i="19"/>
  <c r="G9" i="17" s="1"/>
  <c r="F19" i="19"/>
  <c r="C19" i="19"/>
  <c r="L12" i="19"/>
  <c r="J12" i="19"/>
  <c r="F12" i="19"/>
  <c r="L11" i="19"/>
  <c r="AL5" i="17" s="1"/>
  <c r="AL11" i="17" s="1"/>
  <c r="J11" i="19"/>
  <c r="I11" i="19"/>
  <c r="AJ5" i="17" s="1"/>
  <c r="AJ11" i="17" s="1"/>
  <c r="H11" i="19"/>
  <c r="AI5" i="17" s="1"/>
  <c r="AI11" i="17" s="1"/>
  <c r="F11" i="19"/>
  <c r="E11" i="19"/>
  <c r="AG5" i="17" s="1"/>
  <c r="D11" i="19"/>
  <c r="AF5" i="17" s="1"/>
  <c r="AF11" i="17" s="1"/>
  <c r="L6" i="19"/>
  <c r="J6" i="19"/>
  <c r="I6" i="19"/>
  <c r="H6" i="19"/>
  <c r="G6" i="17" s="1"/>
  <c r="F6" i="19"/>
  <c r="L5" i="19"/>
  <c r="J5" i="19"/>
  <c r="I5" i="19"/>
  <c r="H5" i="19"/>
  <c r="G5" i="17" s="1"/>
  <c r="F5" i="19"/>
  <c r="E5" i="19"/>
  <c r="E5" i="17" s="1"/>
  <c r="D5" i="19"/>
  <c r="D5" i="17" s="1"/>
  <c r="O61" i="7"/>
  <c r="O61" i="43" s="1"/>
  <c r="N61" i="7"/>
  <c r="N61" i="43" s="1"/>
  <c r="M61" i="7"/>
  <c r="M61" i="43" s="1"/>
  <c r="O59" i="7"/>
  <c r="O59" i="43" s="1"/>
  <c r="N59" i="7"/>
  <c r="N59" i="43" s="1"/>
  <c r="M59" i="7"/>
  <c r="M59" i="43" s="1"/>
  <c r="O58" i="7"/>
  <c r="O58" i="43" s="1"/>
  <c r="N58" i="7"/>
  <c r="N58" i="43" s="1"/>
  <c r="M58" i="7"/>
  <c r="M58" i="43" s="1"/>
  <c r="O57" i="7"/>
  <c r="O57" i="43" s="1"/>
  <c r="N57" i="7"/>
  <c r="N57" i="43" s="1"/>
  <c r="M57" i="7"/>
  <c r="M57" i="43" s="1"/>
  <c r="O55" i="7"/>
  <c r="O55" i="43" s="1"/>
  <c r="N55" i="7"/>
  <c r="N55" i="43" s="1"/>
  <c r="M55" i="7"/>
  <c r="M55" i="43" s="1"/>
  <c r="O53" i="7"/>
  <c r="O53" i="43" s="1"/>
  <c r="N53" i="7"/>
  <c r="N53" i="43" s="1"/>
  <c r="M53" i="7"/>
  <c r="M53" i="43" s="1"/>
  <c r="O52" i="7"/>
  <c r="O52" i="43" s="1"/>
  <c r="N52" i="7"/>
  <c r="N52" i="43" s="1"/>
  <c r="M52" i="7"/>
  <c r="M52" i="43" s="1"/>
  <c r="O51" i="7"/>
  <c r="O51" i="43" s="1"/>
  <c r="N51" i="7"/>
  <c r="N51" i="43" s="1"/>
  <c r="M51" i="7"/>
  <c r="M51" i="43" s="1"/>
  <c r="O48" i="7"/>
  <c r="O48" i="43" s="1"/>
  <c r="N48" i="7"/>
  <c r="N48" i="43" s="1"/>
  <c r="M48" i="7"/>
  <c r="M48" i="43" s="1"/>
  <c r="O43" i="7"/>
  <c r="O43" i="43" s="1"/>
  <c r="N43" i="7"/>
  <c r="N43" i="43" s="1"/>
  <c r="M43" i="7"/>
  <c r="M43" i="43" s="1"/>
  <c r="O42" i="7"/>
  <c r="O42" i="43" s="1"/>
  <c r="N42" i="7"/>
  <c r="N42" i="43" s="1"/>
  <c r="M42" i="7"/>
  <c r="M42" i="43" s="1"/>
  <c r="O41" i="7"/>
  <c r="O41" i="43" s="1"/>
  <c r="M41" i="7"/>
  <c r="M41" i="43" s="1"/>
  <c r="O40" i="7"/>
  <c r="O40" i="43" s="1"/>
  <c r="N40" i="7"/>
  <c r="N40" i="43" s="1"/>
  <c r="M40" i="7"/>
  <c r="M40" i="43" s="1"/>
  <c r="O39" i="7"/>
  <c r="O39" i="43" s="1"/>
  <c r="M39" i="7"/>
  <c r="M39" i="43" s="1"/>
  <c r="O32" i="7"/>
  <c r="O32" i="43" s="1"/>
  <c r="N32" i="7"/>
  <c r="N32" i="43" s="1"/>
  <c r="M32" i="7"/>
  <c r="M32" i="43" s="1"/>
  <c r="O31" i="7"/>
  <c r="O31" i="43" s="1"/>
  <c r="N31" i="7"/>
  <c r="N31" i="43" s="1"/>
  <c r="M31" i="7"/>
  <c r="M31" i="43" s="1"/>
  <c r="M29" i="7"/>
  <c r="M29" i="43" s="1"/>
  <c r="M28" i="7"/>
  <c r="M28" i="43" s="1"/>
  <c r="O27" i="7"/>
  <c r="O27" i="43" s="1"/>
  <c r="N27" i="7"/>
  <c r="N27" i="43" s="1"/>
  <c r="M27" i="7"/>
  <c r="M27" i="43" s="1"/>
  <c r="O26" i="7"/>
  <c r="O26" i="43" s="1"/>
  <c r="N26" i="7"/>
  <c r="N26" i="43" s="1"/>
  <c r="M26" i="7"/>
  <c r="M26" i="43" s="1"/>
  <c r="O24" i="7"/>
  <c r="O24" i="43" s="1"/>
  <c r="N24" i="7"/>
  <c r="N24" i="43" s="1"/>
  <c r="M24" i="7"/>
  <c r="M24" i="43" s="1"/>
  <c r="O22" i="7"/>
  <c r="O22" i="43" s="1"/>
  <c r="N22" i="7"/>
  <c r="N22" i="43" s="1"/>
  <c r="M22" i="7"/>
  <c r="M22" i="43" s="1"/>
  <c r="O21" i="7"/>
  <c r="O21" i="43" s="1"/>
  <c r="N21" i="7"/>
  <c r="N21" i="43" s="1"/>
  <c r="M21" i="7"/>
  <c r="M21" i="43" s="1"/>
  <c r="O20" i="7"/>
  <c r="O20" i="43" s="1"/>
  <c r="N20" i="7"/>
  <c r="N20" i="43" s="1"/>
  <c r="M20" i="7"/>
  <c r="M20" i="43" s="1"/>
  <c r="O19" i="7"/>
  <c r="O19" i="43" s="1"/>
  <c r="N19" i="7"/>
  <c r="N19" i="43" s="1"/>
  <c r="M19" i="7"/>
  <c r="M19" i="43" s="1"/>
  <c r="O12" i="7"/>
  <c r="O12" i="43" s="1"/>
  <c r="N12" i="7"/>
  <c r="N12" i="43" s="1"/>
  <c r="M12" i="7"/>
  <c r="M12" i="43" s="1"/>
  <c r="O11" i="7"/>
  <c r="O11" i="43" s="1"/>
  <c r="N11" i="7"/>
  <c r="N11" i="43" s="1"/>
  <c r="M11" i="7"/>
  <c r="M11" i="43" s="1"/>
  <c r="O6" i="7"/>
  <c r="O6" i="43" s="1"/>
  <c r="N6" i="7"/>
  <c r="N6" i="43" s="1"/>
  <c r="M6" i="7"/>
  <c r="M6" i="43" s="1"/>
  <c r="O5" i="7"/>
  <c r="O5" i="43" s="1"/>
  <c r="N5" i="7"/>
  <c r="N5" i="43" s="1"/>
  <c r="M5" i="7"/>
  <c r="M5" i="43" s="1"/>
  <c r="H62" i="7"/>
  <c r="H62" i="43" s="1"/>
  <c r="H50" i="7"/>
  <c r="H50" i="43" s="1"/>
  <c r="H33" i="7"/>
  <c r="H33" i="43" s="1"/>
  <c r="L67" i="33"/>
  <c r="J67" i="33"/>
  <c r="F67" i="33"/>
  <c r="I67" i="19" l="1"/>
  <c r="AJ16" i="17"/>
  <c r="AJ25" i="17" s="1"/>
  <c r="AG11" i="17"/>
  <c r="AO6" i="17"/>
  <c r="BC15" i="17"/>
  <c r="AN13" i="17"/>
  <c r="L67" i="19"/>
  <c r="AL16" i="17"/>
  <c r="AL25" i="17" s="1"/>
  <c r="H36" i="34"/>
  <c r="E36" i="34"/>
  <c r="L36" i="34"/>
  <c r="O36" i="34"/>
  <c r="K36" i="34"/>
  <c r="F36" i="34"/>
  <c r="N36" i="34"/>
  <c r="D36" i="34"/>
  <c r="I36" i="34"/>
  <c r="G36" i="34"/>
  <c r="J36" i="34"/>
  <c r="M36" i="34"/>
  <c r="AO13" i="17"/>
  <c r="H67" i="19"/>
  <c r="AI16" i="17"/>
  <c r="AI25" i="17" s="1"/>
  <c r="AA13" i="17"/>
  <c r="AU11" i="17"/>
  <c r="D18" i="17"/>
  <c r="D17" i="17" s="1"/>
  <c r="E18" i="17"/>
  <c r="Z13" i="17"/>
  <c r="BB15" i="17"/>
  <c r="AG17" i="17"/>
  <c r="AO17" i="17" s="1"/>
  <c r="AO18" i="17"/>
  <c r="D20" i="17"/>
  <c r="L20" i="17" s="1"/>
  <c r="E20" i="17"/>
  <c r="M20" i="17" s="1"/>
  <c r="U11" i="17"/>
  <c r="U24" i="17" s="1"/>
  <c r="U26" i="17" s="1"/>
  <c r="AJ12" i="17"/>
  <c r="AJ23" i="17" s="1"/>
  <c r="AJ24" i="17" s="1"/>
  <c r="AJ26" i="17" s="1"/>
  <c r="V11" i="17"/>
  <c r="V24" i="17" s="1"/>
  <c r="V26" i="17" s="1"/>
  <c r="AW24" i="17"/>
  <c r="AW26" i="17" s="1"/>
  <c r="F11" i="17"/>
  <c r="J6" i="13"/>
  <c r="D20" i="13"/>
  <c r="J20" i="13" s="1"/>
  <c r="H54" i="7"/>
  <c r="H54" i="43" s="1"/>
  <c r="H34" i="7"/>
  <c r="H34" i="43" s="1"/>
  <c r="K45" i="19"/>
  <c r="K42" i="19"/>
  <c r="K44" i="19"/>
  <c r="K43" i="19"/>
  <c r="I41" i="19"/>
  <c r="E19" i="19"/>
  <c r="E9" i="17" s="1"/>
  <c r="H41" i="19"/>
  <c r="D29" i="38"/>
  <c r="E29" i="38"/>
  <c r="F29" i="38"/>
  <c r="C29" i="38"/>
  <c r="D20" i="38"/>
  <c r="M44" i="33"/>
  <c r="M47" i="19" s="1"/>
  <c r="L48" i="19"/>
  <c r="K48" i="19"/>
  <c r="J48" i="19"/>
  <c r="G48" i="19"/>
  <c r="F48" i="19"/>
  <c r="C48" i="19"/>
  <c r="H63" i="7" l="1"/>
  <c r="H63" i="43" s="1"/>
  <c r="H64" i="43" s="1"/>
  <c r="P36" i="34"/>
  <c r="AI12" i="17"/>
  <c r="AI23" i="17" s="1"/>
  <c r="AI24" i="17" s="1"/>
  <c r="AI26" i="17" s="1"/>
  <c r="AL12" i="17"/>
  <c r="AL23" i="17" s="1"/>
  <c r="AL24" i="17" s="1"/>
  <c r="AL26" i="17" s="1"/>
  <c r="H64" i="7"/>
  <c r="M45" i="33"/>
  <c r="M48" i="19" s="1"/>
  <c r="N48" i="19"/>
  <c r="O48" i="19"/>
  <c r="C13" i="35" s="1"/>
  <c r="E13" i="35" l="1"/>
  <c r="M13" i="35"/>
  <c r="F13" i="35"/>
  <c r="N13" i="35"/>
  <c r="G13" i="35"/>
  <c r="O13" i="35"/>
  <c r="H13" i="35"/>
  <c r="I13" i="35"/>
  <c r="J13" i="35"/>
  <c r="K13" i="35"/>
  <c r="L13" i="35"/>
  <c r="D13" i="35"/>
  <c r="E18" i="19"/>
  <c r="E17" i="19"/>
  <c r="C12" i="19"/>
  <c r="M5" i="33"/>
  <c r="M5" i="19" s="1"/>
  <c r="H12" i="19"/>
  <c r="G7" i="17" s="1"/>
  <c r="G11" i="17" s="1"/>
  <c r="O61" i="33"/>
  <c r="O64" i="19" s="1"/>
  <c r="C29" i="35" s="1"/>
  <c r="N61" i="33"/>
  <c r="N64" i="19" s="1"/>
  <c r="M61" i="33"/>
  <c r="M64" i="19" s="1"/>
  <c r="O60" i="33"/>
  <c r="O63" i="19" s="1"/>
  <c r="C28" i="35" s="1"/>
  <c r="N60" i="33"/>
  <c r="N63" i="19" s="1"/>
  <c r="M60" i="33"/>
  <c r="M63" i="19" s="1"/>
  <c r="N59" i="33"/>
  <c r="N62" i="19" s="1"/>
  <c r="N67" i="19" s="1"/>
  <c r="M59" i="33"/>
  <c r="M62" i="19" s="1"/>
  <c r="O58" i="33"/>
  <c r="O61" i="19" s="1"/>
  <c r="C26" i="35" s="1"/>
  <c r="N58" i="33"/>
  <c r="M58" i="33"/>
  <c r="O57" i="33"/>
  <c r="O60" i="19" s="1"/>
  <c r="C25" i="35" s="1"/>
  <c r="N57" i="33"/>
  <c r="N60" i="19" s="1"/>
  <c r="M57" i="33"/>
  <c r="M60" i="19" s="1"/>
  <c r="O56" i="33"/>
  <c r="O59" i="19" s="1"/>
  <c r="C24" i="35" s="1"/>
  <c r="N56" i="33"/>
  <c r="N59" i="19" s="1"/>
  <c r="M56" i="33"/>
  <c r="M59" i="19" s="1"/>
  <c r="O55" i="33"/>
  <c r="N55" i="33"/>
  <c r="M55" i="33"/>
  <c r="O56" i="19"/>
  <c r="C21" i="35" s="1"/>
  <c r="N53" i="33"/>
  <c r="N56" i="19" s="1"/>
  <c r="M53" i="33"/>
  <c r="M56" i="19" s="1"/>
  <c r="O55" i="19"/>
  <c r="C20" i="35" s="1"/>
  <c r="N52" i="33"/>
  <c r="N55" i="19" s="1"/>
  <c r="M52" i="33"/>
  <c r="M55" i="19" s="1"/>
  <c r="O54" i="19"/>
  <c r="C19" i="35" s="1"/>
  <c r="N51" i="33"/>
  <c r="M51" i="33"/>
  <c r="M54" i="19" s="1"/>
  <c r="O52" i="19"/>
  <c r="C17" i="35" s="1"/>
  <c r="N49" i="33"/>
  <c r="N52" i="19" s="1"/>
  <c r="M49" i="33"/>
  <c r="M52" i="19" s="1"/>
  <c r="N48" i="33"/>
  <c r="M48" i="33"/>
  <c r="M51" i="19" s="1"/>
  <c r="O50" i="19"/>
  <c r="C15" i="35" s="1"/>
  <c r="N47" i="33"/>
  <c r="N50" i="19" s="1"/>
  <c r="M47" i="33"/>
  <c r="M50" i="19" s="1"/>
  <c r="O49" i="19"/>
  <c r="C14" i="35" s="1"/>
  <c r="N46" i="33"/>
  <c r="N49" i="19" s="1"/>
  <c r="M46" i="33"/>
  <c r="M49" i="19" s="1"/>
  <c r="O47" i="19"/>
  <c r="C12" i="35" s="1"/>
  <c r="N44" i="33"/>
  <c r="N47" i="19" s="1"/>
  <c r="O45" i="19"/>
  <c r="C10" i="35" s="1"/>
  <c r="N42" i="33"/>
  <c r="N45" i="19" s="1"/>
  <c r="M42" i="33"/>
  <c r="M45" i="19" s="1"/>
  <c r="N41" i="33"/>
  <c r="Q41" i="33" s="1"/>
  <c r="M41" i="33"/>
  <c r="M44" i="19" s="1"/>
  <c r="O43" i="19"/>
  <c r="C8" i="35" s="1"/>
  <c r="M40" i="33"/>
  <c r="M43" i="19" s="1"/>
  <c r="M39" i="33"/>
  <c r="M42" i="19" s="1"/>
  <c r="O32" i="33"/>
  <c r="O32" i="19" s="1"/>
  <c r="C32" i="34" s="1"/>
  <c r="N32" i="33"/>
  <c r="N32" i="19" s="1"/>
  <c r="M32" i="33"/>
  <c r="M32" i="19" s="1"/>
  <c r="O31" i="33"/>
  <c r="N31" i="33"/>
  <c r="N31" i="19" s="1"/>
  <c r="M31" i="33"/>
  <c r="M31" i="19" s="1"/>
  <c r="O30" i="33"/>
  <c r="O30" i="19" s="1"/>
  <c r="C30" i="34" s="1"/>
  <c r="N30" i="33"/>
  <c r="N30" i="19" s="1"/>
  <c r="M30" i="33"/>
  <c r="M30" i="19" s="1"/>
  <c r="O29" i="33"/>
  <c r="N29" i="33"/>
  <c r="M29" i="33"/>
  <c r="M29" i="19" s="1"/>
  <c r="O28" i="33"/>
  <c r="N28" i="33"/>
  <c r="M28" i="33"/>
  <c r="M28" i="19" s="1"/>
  <c r="O27" i="33"/>
  <c r="N27" i="33"/>
  <c r="N27" i="19" s="1"/>
  <c r="M27" i="33"/>
  <c r="M27" i="19" s="1"/>
  <c r="O26" i="33"/>
  <c r="O26" i="19" s="1"/>
  <c r="C26" i="34" s="1"/>
  <c r="N26" i="33"/>
  <c r="N26" i="19" s="1"/>
  <c r="M26" i="33"/>
  <c r="M26" i="19" s="1"/>
  <c r="O25" i="33"/>
  <c r="O25" i="19" s="1"/>
  <c r="C25" i="34" s="1"/>
  <c r="N25" i="33"/>
  <c r="N25" i="19" s="1"/>
  <c r="M25" i="33"/>
  <c r="M25" i="19" s="1"/>
  <c r="O24" i="33"/>
  <c r="O24" i="19" s="1"/>
  <c r="C24" i="34" s="1"/>
  <c r="M24" i="33"/>
  <c r="O22" i="33"/>
  <c r="O22" i="19" s="1"/>
  <c r="C22" i="34" s="1"/>
  <c r="N22" i="33"/>
  <c r="N22" i="19" s="1"/>
  <c r="M22" i="33"/>
  <c r="M22" i="19" s="1"/>
  <c r="O21" i="33"/>
  <c r="O21" i="19" s="1"/>
  <c r="C21" i="34" s="1"/>
  <c r="N21" i="33"/>
  <c r="N21" i="19" s="1"/>
  <c r="M21" i="33"/>
  <c r="M21" i="19" s="1"/>
  <c r="O20" i="33"/>
  <c r="O20" i="19" s="1"/>
  <c r="C20" i="34" s="1"/>
  <c r="N20" i="33"/>
  <c r="N20" i="19" s="1"/>
  <c r="M20" i="33"/>
  <c r="M20" i="19" s="1"/>
  <c r="M19" i="33"/>
  <c r="M19" i="19" s="1"/>
  <c r="M18" i="33"/>
  <c r="M18" i="19" s="1"/>
  <c r="O16" i="33"/>
  <c r="O16" i="19" s="1"/>
  <c r="C16" i="34" s="1"/>
  <c r="N16" i="33"/>
  <c r="N16" i="19" s="1"/>
  <c r="M16" i="33"/>
  <c r="M16" i="19" s="1"/>
  <c r="M17" i="33"/>
  <c r="M17" i="19" s="1"/>
  <c r="M14" i="33"/>
  <c r="M14" i="19" s="1"/>
  <c r="M13" i="33"/>
  <c r="M13" i="19" s="1"/>
  <c r="O11" i="33"/>
  <c r="O11" i="19" s="1"/>
  <c r="C11" i="34" s="1"/>
  <c r="N11" i="33"/>
  <c r="N11" i="19" s="1"/>
  <c r="M11" i="33"/>
  <c r="M11" i="19" s="1"/>
  <c r="M10" i="33"/>
  <c r="M10" i="19" s="1"/>
  <c r="O9" i="33"/>
  <c r="O9" i="19" s="1"/>
  <c r="C9" i="34" s="1"/>
  <c r="N9" i="33"/>
  <c r="N9" i="19" s="1"/>
  <c r="M9" i="33"/>
  <c r="M9" i="19" s="1"/>
  <c r="O8" i="33"/>
  <c r="O8" i="19" s="1"/>
  <c r="C8" i="34" s="1"/>
  <c r="N8" i="33"/>
  <c r="N8" i="19" s="1"/>
  <c r="M8" i="33"/>
  <c r="M8" i="19" s="1"/>
  <c r="O5" i="33"/>
  <c r="O5" i="19" s="1"/>
  <c r="C5" i="34" s="1"/>
  <c r="N5" i="33"/>
  <c r="N5" i="19" s="1"/>
  <c r="I7" i="33"/>
  <c r="I5" i="34" l="1"/>
  <c r="F5" i="34"/>
  <c r="J5" i="34"/>
  <c r="N5" i="34"/>
  <c r="G5" i="34"/>
  <c r="L5" i="34"/>
  <c r="D5" i="34"/>
  <c r="P5" i="34" s="1"/>
  <c r="K5" i="34"/>
  <c r="M5" i="34"/>
  <c r="O5" i="34"/>
  <c r="E5" i="34"/>
  <c r="H5" i="34"/>
  <c r="H16" i="34"/>
  <c r="I16" i="34"/>
  <c r="M16" i="34"/>
  <c r="O16" i="34"/>
  <c r="F16" i="34"/>
  <c r="D16" i="34"/>
  <c r="L16" i="34"/>
  <c r="J16" i="34"/>
  <c r="N16" i="34"/>
  <c r="G16" i="34"/>
  <c r="E16" i="34"/>
  <c r="K16" i="34"/>
  <c r="E25" i="34"/>
  <c r="D25" i="34"/>
  <c r="H25" i="34"/>
  <c r="I25" i="34"/>
  <c r="N25" i="34"/>
  <c r="M25" i="34"/>
  <c r="L25" i="34"/>
  <c r="F25" i="34"/>
  <c r="G25" i="34"/>
  <c r="K25" i="34"/>
  <c r="J25" i="34"/>
  <c r="O25" i="34"/>
  <c r="H20" i="35"/>
  <c r="I20" i="35"/>
  <c r="J20" i="35"/>
  <c r="K20" i="35"/>
  <c r="L20" i="35"/>
  <c r="E20" i="35"/>
  <c r="M20" i="35"/>
  <c r="F20" i="35"/>
  <c r="N20" i="35"/>
  <c r="G20" i="35"/>
  <c r="O20" i="35"/>
  <c r="L24" i="35"/>
  <c r="E24" i="35"/>
  <c r="M24" i="35"/>
  <c r="F24" i="35"/>
  <c r="N24" i="35"/>
  <c r="G24" i="35"/>
  <c r="O24" i="35"/>
  <c r="H24" i="35"/>
  <c r="I24" i="35"/>
  <c r="J24" i="35"/>
  <c r="K24" i="35"/>
  <c r="K11" i="34"/>
  <c r="E11" i="34"/>
  <c r="I11" i="34"/>
  <c r="L11" i="34"/>
  <c r="M11" i="34"/>
  <c r="F11" i="34"/>
  <c r="J11" i="34"/>
  <c r="G11" i="34"/>
  <c r="D11" i="34"/>
  <c r="N11" i="34"/>
  <c r="O11" i="34"/>
  <c r="H11" i="34"/>
  <c r="J14" i="35"/>
  <c r="K14" i="35"/>
  <c r="L14" i="35"/>
  <c r="E14" i="35"/>
  <c r="M14" i="35"/>
  <c r="F14" i="35"/>
  <c r="N14" i="35"/>
  <c r="G14" i="35"/>
  <c r="O14" i="35"/>
  <c r="H14" i="35"/>
  <c r="I14" i="35"/>
  <c r="I17" i="35"/>
  <c r="J17" i="35"/>
  <c r="K17" i="35"/>
  <c r="L17" i="35"/>
  <c r="E17" i="35"/>
  <c r="M17" i="35"/>
  <c r="F17" i="35"/>
  <c r="N17" i="35"/>
  <c r="G17" i="35"/>
  <c r="O17" i="35"/>
  <c r="H17" i="35"/>
  <c r="K8" i="34"/>
  <c r="E8" i="34"/>
  <c r="O8" i="34"/>
  <c r="G8" i="34"/>
  <c r="I8" i="34"/>
  <c r="M8" i="34"/>
  <c r="F8" i="34"/>
  <c r="L8" i="34"/>
  <c r="D8" i="34"/>
  <c r="J8" i="34"/>
  <c r="N8" i="34"/>
  <c r="H8" i="34"/>
  <c r="G22" i="34"/>
  <c r="K22" i="34"/>
  <c r="H22" i="34"/>
  <c r="L22" i="34"/>
  <c r="J22" i="34"/>
  <c r="E22" i="34"/>
  <c r="N22" i="34"/>
  <c r="D22" i="34"/>
  <c r="O22" i="34"/>
  <c r="I22" i="34"/>
  <c r="F22" i="34"/>
  <c r="M22" i="34"/>
  <c r="K26" i="34"/>
  <c r="F26" i="34"/>
  <c r="I26" i="34"/>
  <c r="J26" i="34"/>
  <c r="O26" i="34"/>
  <c r="G26" i="34"/>
  <c r="M26" i="34"/>
  <c r="N26" i="34"/>
  <c r="D26" i="34"/>
  <c r="H26" i="34"/>
  <c r="L26" i="34"/>
  <c r="E26" i="34"/>
  <c r="E21" i="35"/>
  <c r="M21" i="35"/>
  <c r="F21" i="35"/>
  <c r="N21" i="35"/>
  <c r="G21" i="35"/>
  <c r="O21" i="35"/>
  <c r="H21" i="35"/>
  <c r="I21" i="35"/>
  <c r="J21" i="35"/>
  <c r="K21" i="35"/>
  <c r="L21" i="35"/>
  <c r="I25" i="35"/>
  <c r="J25" i="35"/>
  <c r="K25" i="35"/>
  <c r="L25" i="35"/>
  <c r="E25" i="35"/>
  <c r="M25" i="35"/>
  <c r="F25" i="35"/>
  <c r="N25" i="35"/>
  <c r="G25" i="35"/>
  <c r="O25" i="35"/>
  <c r="H25" i="35"/>
  <c r="H28" i="35"/>
  <c r="I28" i="35"/>
  <c r="J28" i="35"/>
  <c r="K28" i="35"/>
  <c r="L28" i="35"/>
  <c r="E28" i="35"/>
  <c r="M28" i="35"/>
  <c r="F28" i="35"/>
  <c r="N28" i="35"/>
  <c r="G28" i="35"/>
  <c r="O28" i="35"/>
  <c r="I20" i="34"/>
  <c r="E20" i="34"/>
  <c r="H20" i="34"/>
  <c r="F20" i="34"/>
  <c r="D20" i="34"/>
  <c r="J20" i="34"/>
  <c r="N20" i="34"/>
  <c r="G20" i="34"/>
  <c r="M20" i="34"/>
  <c r="K20" i="34"/>
  <c r="O20" i="34"/>
  <c r="L20" i="34"/>
  <c r="G15" i="35"/>
  <c r="O15" i="35"/>
  <c r="H15" i="35"/>
  <c r="I15" i="35"/>
  <c r="J15" i="35"/>
  <c r="K15" i="35"/>
  <c r="L15" i="35"/>
  <c r="E15" i="35"/>
  <c r="M15" i="35"/>
  <c r="F15" i="35"/>
  <c r="N15" i="35"/>
  <c r="M24" i="34"/>
  <c r="O24" i="34"/>
  <c r="D24" i="34"/>
  <c r="E24" i="34"/>
  <c r="L24" i="34"/>
  <c r="H24" i="34"/>
  <c r="F24" i="34"/>
  <c r="I24" i="34"/>
  <c r="J24" i="34"/>
  <c r="K24" i="34"/>
  <c r="N24" i="34"/>
  <c r="G24" i="34"/>
  <c r="E32" i="34"/>
  <c r="K32" i="34"/>
  <c r="N32" i="34"/>
  <c r="L32" i="34"/>
  <c r="O32" i="34"/>
  <c r="J32" i="34"/>
  <c r="M32" i="34"/>
  <c r="H32" i="34"/>
  <c r="I32" i="34"/>
  <c r="F32" i="34"/>
  <c r="G32" i="34"/>
  <c r="D32" i="34"/>
  <c r="F10" i="35"/>
  <c r="N10" i="35"/>
  <c r="G10" i="35"/>
  <c r="O10" i="35"/>
  <c r="H10" i="35"/>
  <c r="I10" i="35"/>
  <c r="J10" i="35"/>
  <c r="K10" i="35"/>
  <c r="L10" i="35"/>
  <c r="E10" i="35"/>
  <c r="M10" i="35"/>
  <c r="K19" i="35"/>
  <c r="L19" i="35"/>
  <c r="E19" i="35"/>
  <c r="M19" i="35"/>
  <c r="F19" i="35"/>
  <c r="N19" i="35"/>
  <c r="G19" i="35"/>
  <c r="O19" i="35"/>
  <c r="H19" i="35"/>
  <c r="I19" i="35"/>
  <c r="J19" i="35"/>
  <c r="P13" i="35"/>
  <c r="S13" i="35" s="1"/>
  <c r="I9" i="34"/>
  <c r="J9" i="34"/>
  <c r="N9" i="34"/>
  <c r="G9" i="34"/>
  <c r="K9" i="34"/>
  <c r="D9" i="34"/>
  <c r="O9" i="34"/>
  <c r="M9" i="34"/>
  <c r="H9" i="34"/>
  <c r="F9" i="34"/>
  <c r="L9" i="34"/>
  <c r="E9" i="34"/>
  <c r="F26" i="35"/>
  <c r="N26" i="35"/>
  <c r="G26" i="35"/>
  <c r="O26" i="35"/>
  <c r="H26" i="35"/>
  <c r="I26" i="35"/>
  <c r="J26" i="35"/>
  <c r="K26" i="35"/>
  <c r="L26" i="35"/>
  <c r="E26" i="35"/>
  <c r="M26" i="35"/>
  <c r="E29" i="35"/>
  <c r="M29" i="35"/>
  <c r="F29" i="35"/>
  <c r="N29" i="35"/>
  <c r="G29" i="35"/>
  <c r="O29" i="35"/>
  <c r="H29" i="35"/>
  <c r="I29" i="35"/>
  <c r="J29" i="35"/>
  <c r="K29" i="35"/>
  <c r="L29" i="35"/>
  <c r="G30" i="34"/>
  <c r="K30" i="34"/>
  <c r="H30" i="34"/>
  <c r="L30" i="34"/>
  <c r="E30" i="34"/>
  <c r="D30" i="34"/>
  <c r="P30" i="34" s="1"/>
  <c r="J30" i="34"/>
  <c r="I30" i="34"/>
  <c r="N30" i="34"/>
  <c r="O30" i="34"/>
  <c r="M30" i="34"/>
  <c r="F30" i="34"/>
  <c r="H12" i="35"/>
  <c r="I12" i="35"/>
  <c r="J12" i="35"/>
  <c r="K12" i="35"/>
  <c r="L12" i="35"/>
  <c r="E12" i="35"/>
  <c r="M12" i="35"/>
  <c r="F12" i="35"/>
  <c r="N12" i="35"/>
  <c r="G12" i="35"/>
  <c r="O12" i="35"/>
  <c r="D12" i="35"/>
  <c r="I21" i="34"/>
  <c r="N21" i="34"/>
  <c r="D21" i="34"/>
  <c r="F21" i="34"/>
  <c r="G21" i="34"/>
  <c r="K21" i="34"/>
  <c r="O21" i="34"/>
  <c r="M21" i="34"/>
  <c r="H21" i="34"/>
  <c r="E21" i="34"/>
  <c r="J21" i="34"/>
  <c r="L21" i="34"/>
  <c r="L8" i="35"/>
  <c r="E8" i="35"/>
  <c r="M8" i="35"/>
  <c r="F8" i="35"/>
  <c r="N8" i="35"/>
  <c r="G8" i="35"/>
  <c r="O8" i="35"/>
  <c r="H8" i="35"/>
  <c r="I8" i="35"/>
  <c r="J8" i="35"/>
  <c r="K8" i="35"/>
  <c r="O27" i="19"/>
  <c r="C27" i="34" s="1"/>
  <c r="Q27" i="33"/>
  <c r="N51" i="19"/>
  <c r="Q48" i="33"/>
  <c r="M24" i="19"/>
  <c r="M33" i="33"/>
  <c r="N54" i="19"/>
  <c r="Q51" i="33"/>
  <c r="O31" i="19"/>
  <c r="C31" i="34" s="1"/>
  <c r="O33" i="33"/>
  <c r="O62" i="33"/>
  <c r="N58" i="19"/>
  <c r="N62" i="33"/>
  <c r="M58" i="19"/>
  <c r="M62" i="33"/>
  <c r="N61" i="19"/>
  <c r="M61" i="19"/>
  <c r="O58" i="19"/>
  <c r="C23" i="35" s="1"/>
  <c r="D24" i="35"/>
  <c r="D15" i="35"/>
  <c r="D14" i="35"/>
  <c r="P14" i="35" s="1"/>
  <c r="D17" i="35"/>
  <c r="M67" i="19"/>
  <c r="D8" i="35"/>
  <c r="D19" i="35"/>
  <c r="D21" i="35"/>
  <c r="D29" i="35"/>
  <c r="P29" i="35" s="1"/>
  <c r="D10" i="35"/>
  <c r="M35" i="19"/>
  <c r="D20" i="35"/>
  <c r="D25" i="35"/>
  <c r="D28" i="35"/>
  <c r="I7" i="19"/>
  <c r="M15" i="33"/>
  <c r="M15" i="19" s="1"/>
  <c r="C15" i="19"/>
  <c r="O46" i="19"/>
  <c r="C11" i="35" s="1"/>
  <c r="K27" i="34" l="1"/>
  <c r="J27" i="34"/>
  <c r="H27" i="34"/>
  <c r="N27" i="34"/>
  <c r="D27" i="34"/>
  <c r="E27" i="34"/>
  <c r="F27" i="34"/>
  <c r="G27" i="34"/>
  <c r="I27" i="34"/>
  <c r="L27" i="34"/>
  <c r="M27" i="34"/>
  <c r="O27" i="34"/>
  <c r="P10" i="35"/>
  <c r="P17" i="35"/>
  <c r="P32" i="34"/>
  <c r="P22" i="34"/>
  <c r="P28" i="35"/>
  <c r="S28" i="35" s="1"/>
  <c r="P21" i="35"/>
  <c r="P15" i="35"/>
  <c r="P20" i="34"/>
  <c r="P9" i="34"/>
  <c r="P26" i="34"/>
  <c r="P8" i="34"/>
  <c r="P25" i="35"/>
  <c r="P21" i="34"/>
  <c r="P20" i="35"/>
  <c r="P19" i="35"/>
  <c r="P24" i="34"/>
  <c r="P11" i="34"/>
  <c r="P24" i="35"/>
  <c r="S24" i="35" s="1"/>
  <c r="K11" i="35"/>
  <c r="L11" i="35"/>
  <c r="E11" i="35"/>
  <c r="M11" i="35"/>
  <c r="F11" i="35"/>
  <c r="N11" i="35"/>
  <c r="G11" i="35"/>
  <c r="O11" i="35"/>
  <c r="H11" i="35"/>
  <c r="I11" i="35"/>
  <c r="J11" i="35"/>
  <c r="P8" i="35"/>
  <c r="G23" i="35"/>
  <c r="O23" i="35"/>
  <c r="H23" i="35"/>
  <c r="I23" i="35"/>
  <c r="J23" i="35"/>
  <c r="K23" i="35"/>
  <c r="L23" i="35"/>
  <c r="E23" i="35"/>
  <c r="M23" i="35"/>
  <c r="F23" i="35"/>
  <c r="N23" i="35"/>
  <c r="P25" i="34"/>
  <c r="P16" i="34"/>
  <c r="G31" i="34"/>
  <c r="M31" i="34"/>
  <c r="D31" i="34"/>
  <c r="F31" i="34"/>
  <c r="O31" i="34"/>
  <c r="J31" i="34"/>
  <c r="K31" i="34"/>
  <c r="H31" i="34"/>
  <c r="N31" i="34"/>
  <c r="L31" i="34"/>
  <c r="E31" i="34"/>
  <c r="I31" i="34"/>
  <c r="P12" i="35"/>
  <c r="D26" i="35"/>
  <c r="P26" i="35" s="1"/>
  <c r="D23" i="35"/>
  <c r="S17" i="35"/>
  <c r="S14" i="35"/>
  <c r="I12" i="19"/>
  <c r="D19" i="19"/>
  <c r="D9" i="17" s="1"/>
  <c r="D18" i="19"/>
  <c r="D17" i="19"/>
  <c r="D13" i="19"/>
  <c r="P23" i="35" l="1"/>
  <c r="P27" i="34"/>
  <c r="P31" i="34"/>
  <c r="N14" i="33"/>
  <c r="N14" i="19" s="1"/>
  <c r="D14" i="19"/>
  <c r="N24" i="33"/>
  <c r="D24" i="19"/>
  <c r="AF18" i="17" s="1"/>
  <c r="I23" i="19"/>
  <c r="N13" i="33"/>
  <c r="N13" i="19" s="1"/>
  <c r="E13" i="19"/>
  <c r="N18" i="33"/>
  <c r="N18" i="19" s="1"/>
  <c r="O18" i="33"/>
  <c r="O18" i="19" s="1"/>
  <c r="C18" i="34" s="1"/>
  <c r="N17" i="33"/>
  <c r="N17" i="19" s="1"/>
  <c r="O17" i="33"/>
  <c r="O17" i="19" s="1"/>
  <c r="C17" i="34" s="1"/>
  <c r="O19" i="33"/>
  <c r="O19" i="19" s="1"/>
  <c r="C19" i="34" s="1"/>
  <c r="N19" i="33"/>
  <c r="N19" i="19" s="1"/>
  <c r="D10" i="19"/>
  <c r="E10" i="19"/>
  <c r="K19" i="34" l="1"/>
  <c r="E19" i="34"/>
  <c r="G19" i="34"/>
  <c r="I19" i="34"/>
  <c r="H19" i="34"/>
  <c r="O19" i="34"/>
  <c r="M19" i="34"/>
  <c r="L19" i="34"/>
  <c r="F19" i="34"/>
  <c r="J19" i="34"/>
  <c r="N19" i="34"/>
  <c r="D19" i="34"/>
  <c r="J18" i="34"/>
  <c r="N18" i="34"/>
  <c r="K18" i="34"/>
  <c r="H18" i="34"/>
  <c r="F18" i="34"/>
  <c r="L18" i="34"/>
  <c r="O18" i="34"/>
  <c r="E18" i="34"/>
  <c r="I18" i="34"/>
  <c r="G18" i="34"/>
  <c r="M18" i="34"/>
  <c r="D18" i="34"/>
  <c r="P18" i="34" s="1"/>
  <c r="E17" i="34"/>
  <c r="J17" i="34"/>
  <c r="I17" i="34"/>
  <c r="N17" i="34"/>
  <c r="F17" i="34"/>
  <c r="D17" i="34"/>
  <c r="G17" i="34"/>
  <c r="K17" i="34"/>
  <c r="M17" i="34"/>
  <c r="O17" i="34"/>
  <c r="H17" i="34"/>
  <c r="L17" i="34"/>
  <c r="AF17" i="17"/>
  <c r="AN17" i="17" s="1"/>
  <c r="AN18" i="17"/>
  <c r="N24" i="19"/>
  <c r="N33" i="33"/>
  <c r="O14" i="33"/>
  <c r="O14" i="19" s="1"/>
  <c r="C14" i="34" s="1"/>
  <c r="E14" i="19"/>
  <c r="I67" i="33"/>
  <c r="D43" i="19"/>
  <c r="R6" i="17" s="1"/>
  <c r="O13" i="33"/>
  <c r="O13" i="19" s="1"/>
  <c r="C13" i="34" s="1"/>
  <c r="O10" i="33"/>
  <c r="O10" i="19" s="1"/>
  <c r="C10" i="34" s="1"/>
  <c r="N39" i="33"/>
  <c r="N10" i="33"/>
  <c r="N10" i="19" s="1"/>
  <c r="N40" i="33"/>
  <c r="F10" i="34" l="1"/>
  <c r="D10" i="34"/>
  <c r="O10" i="34"/>
  <c r="H10" i="34"/>
  <c r="J10" i="34"/>
  <c r="L10" i="34"/>
  <c r="E10" i="34"/>
  <c r="I10" i="34"/>
  <c r="M10" i="34"/>
  <c r="N10" i="34"/>
  <c r="K10" i="34"/>
  <c r="G10" i="34"/>
  <c r="M13" i="34"/>
  <c r="J13" i="34"/>
  <c r="N13" i="34"/>
  <c r="G13" i="34"/>
  <c r="E13" i="34"/>
  <c r="D13" i="34"/>
  <c r="K13" i="34"/>
  <c r="O13" i="34"/>
  <c r="I13" i="34"/>
  <c r="F13" i="34"/>
  <c r="H13" i="34"/>
  <c r="L13" i="34"/>
  <c r="P17" i="34"/>
  <c r="P19" i="34"/>
  <c r="F14" i="34"/>
  <c r="O14" i="34"/>
  <c r="H14" i="34"/>
  <c r="K14" i="34"/>
  <c r="J14" i="34"/>
  <c r="L14" i="34"/>
  <c r="N14" i="34"/>
  <c r="E14" i="34"/>
  <c r="I14" i="34"/>
  <c r="D14" i="34"/>
  <c r="M14" i="34"/>
  <c r="G14" i="34"/>
  <c r="Q33" i="33"/>
  <c r="N43" i="19"/>
  <c r="N38" i="33"/>
  <c r="E42" i="19"/>
  <c r="S5" i="17" s="1"/>
  <c r="O42" i="19"/>
  <c r="C7" i="35" s="1"/>
  <c r="P14" i="34" l="1"/>
  <c r="G7" i="35"/>
  <c r="O7" i="35"/>
  <c r="H7" i="35"/>
  <c r="I7" i="35"/>
  <c r="J7" i="35"/>
  <c r="K7" i="35"/>
  <c r="L7" i="35"/>
  <c r="E7" i="35"/>
  <c r="M7" i="35"/>
  <c r="F7" i="35"/>
  <c r="N7" i="35"/>
  <c r="D7" i="35"/>
  <c r="S11" i="17"/>
  <c r="P13" i="34"/>
  <c r="P10" i="34"/>
  <c r="E28" i="7"/>
  <c r="E28" i="43" s="1"/>
  <c r="O29" i="7"/>
  <c r="O29" i="43" s="1"/>
  <c r="O44" i="19"/>
  <c r="C9" i="35" s="1"/>
  <c r="E44" i="19"/>
  <c r="S7" i="17" s="1"/>
  <c r="P7" i="35" l="1"/>
  <c r="I9" i="35"/>
  <c r="J9" i="35"/>
  <c r="K9" i="35"/>
  <c r="L9" i="35"/>
  <c r="E9" i="35"/>
  <c r="M9" i="35"/>
  <c r="F9" i="35"/>
  <c r="N9" i="35"/>
  <c r="G9" i="35"/>
  <c r="O9" i="35"/>
  <c r="H9" i="35"/>
  <c r="D9" i="35"/>
  <c r="O28" i="7"/>
  <c r="E28" i="19"/>
  <c r="E35" i="19" s="1"/>
  <c r="P9" i="35" l="1"/>
  <c r="O28" i="43"/>
  <c r="O28" i="19" s="1"/>
  <c r="C28" i="34" s="1"/>
  <c r="D62" i="7"/>
  <c r="D62" i="43" s="1"/>
  <c r="D50" i="7"/>
  <c r="D50" i="43" s="1"/>
  <c r="AF16" i="17" s="1"/>
  <c r="N41" i="7"/>
  <c r="N41" i="43" s="1"/>
  <c r="D23" i="7"/>
  <c r="D23" i="43" s="1"/>
  <c r="AN16" i="17" l="1"/>
  <c r="AN25" i="17" s="1"/>
  <c r="AF25" i="17"/>
  <c r="AT20" i="17"/>
  <c r="AF12" i="17"/>
  <c r="I28" i="34"/>
  <c r="G28" i="34"/>
  <c r="K28" i="34"/>
  <c r="E28" i="34"/>
  <c r="O28" i="34"/>
  <c r="N28" i="34"/>
  <c r="D28" i="34"/>
  <c r="F28" i="34"/>
  <c r="L28" i="34"/>
  <c r="J28" i="34"/>
  <c r="H28" i="34"/>
  <c r="M28" i="34"/>
  <c r="O35" i="19"/>
  <c r="C35" i="34" s="1"/>
  <c r="D42" i="19"/>
  <c r="R5" i="17" s="1"/>
  <c r="N39" i="7"/>
  <c r="N39" i="43" s="1"/>
  <c r="D29" i="19"/>
  <c r="N29" i="7"/>
  <c r="N29" i="43" s="1"/>
  <c r="D28" i="7"/>
  <c r="D28" i="43" s="1"/>
  <c r="D28" i="19" s="1"/>
  <c r="D38" i="7"/>
  <c r="D38" i="43" s="1"/>
  <c r="G35" i="34" l="1"/>
  <c r="F35" i="34"/>
  <c r="M35" i="34"/>
  <c r="I35" i="34"/>
  <c r="L35" i="34"/>
  <c r="O35" i="34"/>
  <c r="E35" i="34"/>
  <c r="H35" i="34"/>
  <c r="K35" i="34"/>
  <c r="N35" i="34"/>
  <c r="J35" i="34"/>
  <c r="D35" i="34"/>
  <c r="P28" i="34"/>
  <c r="BB20" i="17"/>
  <c r="AT25" i="17"/>
  <c r="AT23" i="17"/>
  <c r="AT24" i="17" s="1"/>
  <c r="AT26" i="17" s="1"/>
  <c r="AN12" i="17"/>
  <c r="AN23" i="17" s="1"/>
  <c r="AF23" i="17"/>
  <c r="AF24" i="17" s="1"/>
  <c r="AF26" i="17" s="1"/>
  <c r="N29" i="19"/>
  <c r="N42" i="19"/>
  <c r="D54" i="7"/>
  <c r="D54" i="43" s="1"/>
  <c r="D35" i="19"/>
  <c r="N28" i="7"/>
  <c r="N28" i="43" s="1"/>
  <c r="D33" i="7"/>
  <c r="D33" i="43" s="1"/>
  <c r="E33" i="7"/>
  <c r="E33" i="43" s="1"/>
  <c r="E23" i="7"/>
  <c r="E23" i="43" s="1"/>
  <c r="BB25" i="17" l="1"/>
  <c r="BB23" i="17"/>
  <c r="P35" i="34"/>
  <c r="N28" i="19"/>
  <c r="N35" i="19" s="1"/>
  <c r="D63" i="7"/>
  <c r="D63" i="43" s="1"/>
  <c r="D34" i="7"/>
  <c r="D34" i="43" s="1"/>
  <c r="E34" i="7"/>
  <c r="E34" i="43" s="1"/>
  <c r="E50" i="7"/>
  <c r="E50" i="43" s="1"/>
  <c r="AG16" i="17" s="1"/>
  <c r="AU20" i="17" l="1"/>
  <c r="AO16" i="17"/>
  <c r="AO25" i="17" s="1"/>
  <c r="AG25" i="17"/>
  <c r="AG12" i="17"/>
  <c r="E16" i="17"/>
  <c r="D16" i="17"/>
  <c r="D64" i="43"/>
  <c r="D64" i="7"/>
  <c r="O29" i="19"/>
  <c r="C29" i="34" s="1"/>
  <c r="E29" i="19"/>
  <c r="H15" i="19"/>
  <c r="AG23" i="17" l="1"/>
  <c r="AG24" i="17" s="1"/>
  <c r="AG26" i="17" s="1"/>
  <c r="AO12" i="17"/>
  <c r="AO23" i="17" s="1"/>
  <c r="S19" i="17"/>
  <c r="M16" i="17"/>
  <c r="M25" i="17" s="1"/>
  <c r="AO32" i="17"/>
  <c r="AP32" i="17" s="1"/>
  <c r="L16" i="17"/>
  <c r="L25" i="17" s="1"/>
  <c r="AN32" i="17" s="1"/>
  <c r="R19" i="17"/>
  <c r="D12" i="17"/>
  <c r="D23" i="17" s="1"/>
  <c r="I29" i="34"/>
  <c r="G29" i="34"/>
  <c r="K29" i="34"/>
  <c r="D29" i="34"/>
  <c r="O29" i="34"/>
  <c r="H29" i="34"/>
  <c r="N29" i="34"/>
  <c r="M29" i="34"/>
  <c r="L29" i="34"/>
  <c r="F29" i="34"/>
  <c r="E29" i="34"/>
  <c r="J29" i="34"/>
  <c r="AU25" i="17"/>
  <c r="BC20" i="17"/>
  <c r="AU23" i="17"/>
  <c r="AU24" i="17" s="1"/>
  <c r="AU26" i="17" s="1"/>
  <c r="D15" i="19"/>
  <c r="BC25" i="17" l="1"/>
  <c r="BC23" i="17"/>
  <c r="Z19" i="17"/>
  <c r="R25" i="17"/>
  <c r="R23" i="17"/>
  <c r="AA19" i="17"/>
  <c r="S25" i="17"/>
  <c r="S23" i="17"/>
  <c r="S24" i="17" s="1"/>
  <c r="P29" i="34"/>
  <c r="E15" i="19"/>
  <c r="I15" i="19"/>
  <c r="O15" i="33"/>
  <c r="O15" i="19" s="1"/>
  <c r="C15" i="34" s="1"/>
  <c r="E12" i="19"/>
  <c r="E7" i="17" s="1"/>
  <c r="N15" i="33"/>
  <c r="N15" i="19" s="1"/>
  <c r="F25" i="17"/>
  <c r="H25" i="17"/>
  <c r="I25" i="17"/>
  <c r="J25" i="17"/>
  <c r="AH16" i="17"/>
  <c r="AK16" i="17"/>
  <c r="AK25" i="17" s="1"/>
  <c r="AV15" i="17"/>
  <c r="AV23" i="17" s="1"/>
  <c r="AY15" i="17"/>
  <c r="AY23" i="17" s="1"/>
  <c r="AS15" i="17"/>
  <c r="AV7" i="17"/>
  <c r="AY7" i="17"/>
  <c r="AZ7" i="17"/>
  <c r="AS7" i="17"/>
  <c r="BA7" i="17" s="1"/>
  <c r="AH13" i="17"/>
  <c r="AK13" i="17"/>
  <c r="F18" i="17"/>
  <c r="H18" i="17"/>
  <c r="I18" i="17"/>
  <c r="I17" i="17" s="1"/>
  <c r="J18" i="17"/>
  <c r="F13" i="17"/>
  <c r="H13" i="17"/>
  <c r="I13" i="17"/>
  <c r="I12" i="17" s="1"/>
  <c r="J13" i="17"/>
  <c r="AH18" i="17"/>
  <c r="AH17" i="17" s="1"/>
  <c r="AK18" i="17"/>
  <c r="AK17" i="17" s="1"/>
  <c r="AE18" i="17"/>
  <c r="T20" i="17"/>
  <c r="W20" i="17"/>
  <c r="W23" i="17" s="1"/>
  <c r="Q13" i="17"/>
  <c r="Y13" i="17" s="1"/>
  <c r="O15" i="34" l="1"/>
  <c r="E15" i="34"/>
  <c r="I15" i="34"/>
  <c r="M15" i="34"/>
  <c r="K15" i="34"/>
  <c r="D15" i="34"/>
  <c r="P15" i="34" s="1"/>
  <c r="F15" i="34"/>
  <c r="G15" i="34"/>
  <c r="L15" i="34"/>
  <c r="J15" i="34"/>
  <c r="N15" i="34"/>
  <c r="H15" i="34"/>
  <c r="Z25" i="17"/>
  <c r="BB32" i="17" s="1"/>
  <c r="Z23" i="17"/>
  <c r="AA25" i="17"/>
  <c r="BC32" i="17" s="1"/>
  <c r="AA23" i="17"/>
  <c r="S26" i="17"/>
  <c r="BA15" i="17"/>
  <c r="AH25" i="17"/>
  <c r="T23" i="17"/>
  <c r="Y20" i="17"/>
  <c r="BC7" i="17"/>
  <c r="BB7" i="17"/>
  <c r="AM18" i="17"/>
  <c r="K13" i="17"/>
  <c r="K18" i="17"/>
  <c r="J17" i="17"/>
  <c r="L17" i="17" s="1"/>
  <c r="L18" i="17"/>
  <c r="M13" i="17"/>
  <c r="H17" i="17"/>
  <c r="M18" i="17"/>
  <c r="J12" i="17"/>
  <c r="L12" i="17" s="1"/>
  <c r="L13" i="17"/>
  <c r="I23" i="17"/>
  <c r="N12" i="33"/>
  <c r="N12" i="19" s="1"/>
  <c r="D12" i="19"/>
  <c r="D7" i="17" s="1"/>
  <c r="O12" i="33"/>
  <c r="O12" i="19" s="1"/>
  <c r="C12" i="34" s="1"/>
  <c r="AK12" i="17"/>
  <c r="AK23" i="17" s="1"/>
  <c r="H12" i="17"/>
  <c r="AH12" i="17"/>
  <c r="AH23" i="17" s="1"/>
  <c r="AE17" i="17"/>
  <c r="AM17" i="17" s="1"/>
  <c r="F12" i="17"/>
  <c r="F17" i="17"/>
  <c r="K17" i="17" s="1"/>
  <c r="E12" i="17"/>
  <c r="E25" i="17"/>
  <c r="W8" i="17"/>
  <c r="X8" i="17"/>
  <c r="Q8" i="17"/>
  <c r="AE7" i="17"/>
  <c r="AM7" i="17" s="1"/>
  <c r="H8" i="17"/>
  <c r="I8" i="17"/>
  <c r="K8" i="17" s="1"/>
  <c r="J8" i="17"/>
  <c r="L8" i="17" s="1"/>
  <c r="E12" i="34" l="1"/>
  <c r="O12" i="34"/>
  <c r="I12" i="34"/>
  <c r="M12" i="34"/>
  <c r="F12" i="34"/>
  <c r="L12" i="34"/>
  <c r="D12" i="34"/>
  <c r="K12" i="34"/>
  <c r="J12" i="34"/>
  <c r="H12" i="34"/>
  <c r="N12" i="34"/>
  <c r="G12" i="34"/>
  <c r="Y8" i="17"/>
  <c r="Z8" i="17"/>
  <c r="AA8" i="17"/>
  <c r="M12" i="17"/>
  <c r="L23" i="17"/>
  <c r="J23" i="17"/>
  <c r="M8" i="17"/>
  <c r="H23" i="17"/>
  <c r="F23" i="17"/>
  <c r="N13" i="42"/>
  <c r="N22" i="42" s="1"/>
  <c r="M13" i="42"/>
  <c r="M22" i="42" s="1"/>
  <c r="L13" i="42"/>
  <c r="L22" i="42" s="1"/>
  <c r="O21" i="42"/>
  <c r="O20" i="42"/>
  <c r="O19" i="42"/>
  <c r="O18" i="42"/>
  <c r="O17" i="42"/>
  <c r="O15" i="42"/>
  <c r="O14" i="42"/>
  <c r="O12" i="42"/>
  <c r="O11" i="42"/>
  <c r="O10" i="42"/>
  <c r="O9" i="42"/>
  <c r="O8" i="42"/>
  <c r="O7" i="42"/>
  <c r="J15" i="42"/>
  <c r="J16" i="42"/>
  <c r="K16" i="42" s="1"/>
  <c r="J17" i="42"/>
  <c r="J18" i="42"/>
  <c r="J19" i="42"/>
  <c r="J20" i="42"/>
  <c r="J21" i="42"/>
  <c r="J14" i="42"/>
  <c r="I13" i="42"/>
  <c r="H13" i="42"/>
  <c r="G13" i="42"/>
  <c r="F13" i="42"/>
  <c r="E13" i="42"/>
  <c r="D13" i="42"/>
  <c r="J12" i="42"/>
  <c r="J11" i="42"/>
  <c r="I10" i="42"/>
  <c r="H10" i="42"/>
  <c r="G10" i="42"/>
  <c r="F10" i="42"/>
  <c r="E10" i="42"/>
  <c r="D10" i="42"/>
  <c r="J9" i="42"/>
  <c r="J8" i="42"/>
  <c r="I7" i="42"/>
  <c r="H7" i="42"/>
  <c r="G7" i="42"/>
  <c r="G22" i="42" s="1"/>
  <c r="F7" i="42"/>
  <c r="E7" i="42"/>
  <c r="D7" i="42"/>
  <c r="P12" i="34" l="1"/>
  <c r="E51" i="19"/>
  <c r="O51" i="19"/>
  <c r="C16" i="35" s="1"/>
  <c r="K13" i="42"/>
  <c r="O16" i="42"/>
  <c r="J7" i="42"/>
  <c r="H22" i="42"/>
  <c r="I22" i="42"/>
  <c r="J10" i="42"/>
  <c r="E22" i="42"/>
  <c r="D22" i="42"/>
  <c r="J13" i="42"/>
  <c r="F22" i="42"/>
  <c r="Q23" i="19"/>
  <c r="R23" i="19"/>
  <c r="R33" i="19"/>
  <c r="R41" i="19"/>
  <c r="Q46" i="19"/>
  <c r="Q53" i="19"/>
  <c r="L16" i="35" l="1"/>
  <c r="E16" i="35"/>
  <c r="M16" i="35"/>
  <c r="F16" i="35"/>
  <c r="N16" i="35"/>
  <c r="G16" i="35"/>
  <c r="O16" i="35"/>
  <c r="H16" i="35"/>
  <c r="I16" i="35"/>
  <c r="J16" i="35"/>
  <c r="K16" i="35"/>
  <c r="D16" i="35"/>
  <c r="O13" i="42"/>
  <c r="O22" i="42" s="1"/>
  <c r="K22" i="42"/>
  <c r="Q41" i="19"/>
  <c r="R57" i="19"/>
  <c r="R66" i="19" s="1"/>
  <c r="R69" i="19" s="1"/>
  <c r="T7" i="19"/>
  <c r="T9" i="19"/>
  <c r="T11" i="19"/>
  <c r="T13" i="19"/>
  <c r="T15" i="19"/>
  <c r="T17" i="19"/>
  <c r="T19" i="19"/>
  <c r="T21" i="19"/>
  <c r="T23" i="19"/>
  <c r="T6" i="19"/>
  <c r="T8" i="19"/>
  <c r="T10" i="19"/>
  <c r="T12" i="19"/>
  <c r="T14" i="19"/>
  <c r="T16" i="19"/>
  <c r="T18" i="19"/>
  <c r="T20" i="19"/>
  <c r="T22" i="19"/>
  <c r="T5" i="19"/>
  <c r="U7" i="19"/>
  <c r="U9" i="19"/>
  <c r="U11" i="19"/>
  <c r="U13" i="19"/>
  <c r="U15" i="19"/>
  <c r="U17" i="19"/>
  <c r="U19" i="19"/>
  <c r="U21" i="19"/>
  <c r="U23" i="19"/>
  <c r="U5" i="19"/>
  <c r="U6" i="19"/>
  <c r="U8" i="19"/>
  <c r="U10" i="19"/>
  <c r="U12" i="19"/>
  <c r="U14" i="19"/>
  <c r="U16" i="19"/>
  <c r="U18" i="19"/>
  <c r="U20" i="19"/>
  <c r="U22" i="19"/>
  <c r="Q57" i="19"/>
  <c r="R34" i="19"/>
  <c r="R37" i="19" s="1"/>
  <c r="Q34" i="19"/>
  <c r="Q37" i="19" s="1"/>
  <c r="J22" i="42"/>
  <c r="P16" i="35" l="1"/>
  <c r="R70" i="19"/>
  <c r="U41" i="19"/>
  <c r="Q66" i="19"/>
  <c r="Q69" i="19" s="1"/>
  <c r="Q70" i="19" s="1"/>
  <c r="T56" i="19"/>
  <c r="T42" i="19"/>
  <c r="T44" i="19"/>
  <c r="T48" i="19"/>
  <c r="T50" i="19"/>
  <c r="T52" i="19"/>
  <c r="T54" i="19"/>
  <c r="T57" i="19"/>
  <c r="T43" i="19"/>
  <c r="T45" i="19"/>
  <c r="T47" i="19"/>
  <c r="T49" i="19"/>
  <c r="T51" i="19"/>
  <c r="T55" i="19"/>
  <c r="T46" i="19"/>
  <c r="T53" i="19"/>
  <c r="U56" i="19"/>
  <c r="U42" i="19"/>
  <c r="U44" i="19"/>
  <c r="U48" i="19"/>
  <c r="U50" i="19"/>
  <c r="U52" i="19"/>
  <c r="U54" i="19"/>
  <c r="U57" i="19"/>
  <c r="U43" i="19"/>
  <c r="U45" i="19"/>
  <c r="U47" i="19"/>
  <c r="U49" i="19"/>
  <c r="U51" i="19"/>
  <c r="U55" i="19"/>
  <c r="U46" i="19"/>
  <c r="U53" i="19"/>
  <c r="T41" i="19"/>
  <c r="AE13" i="17" l="1"/>
  <c r="AM13" i="17" s="1"/>
  <c r="N44" i="19" l="1"/>
  <c r="D44" i="19"/>
  <c r="R7" i="17" s="1"/>
  <c r="R11" i="17" s="1"/>
  <c r="R24" i="17" s="1"/>
  <c r="R26" i="17" s="1"/>
  <c r="E17" i="17"/>
  <c r="C46" i="19"/>
  <c r="E23" i="17" l="1"/>
  <c r="M17" i="17"/>
  <c r="M23" i="17" s="1"/>
  <c r="C27" i="40"/>
  <c r="D27" i="40"/>
  <c r="E27" i="40"/>
  <c r="H28" i="40"/>
  <c r="F24" i="40"/>
  <c r="F25" i="40" s="1"/>
  <c r="K6" i="40"/>
  <c r="I5" i="40"/>
  <c r="H5" i="40"/>
  <c r="H11" i="40" s="1"/>
  <c r="G5" i="40"/>
  <c r="C26" i="40" s="1"/>
  <c r="J28" i="40"/>
  <c r="I24" i="40"/>
  <c r="I25" i="40" s="1"/>
  <c r="E24" i="40"/>
  <c r="E25" i="40" s="1"/>
  <c r="K23" i="40"/>
  <c r="J22" i="40"/>
  <c r="K22" i="40" s="1"/>
  <c r="K21" i="40"/>
  <c r="K20" i="40"/>
  <c r="J19" i="40"/>
  <c r="K19" i="40" s="1"/>
  <c r="K18" i="40"/>
  <c r="J17" i="40"/>
  <c r="H24" i="40"/>
  <c r="H25" i="40" s="1"/>
  <c r="G24" i="40"/>
  <c r="G25" i="40" s="1"/>
  <c r="D24" i="40"/>
  <c r="D25" i="40" s="1"/>
  <c r="C24" i="40"/>
  <c r="C25" i="40" s="1"/>
  <c r="K8" i="40"/>
  <c r="K7" i="40"/>
  <c r="J24" i="40" l="1"/>
  <c r="J25" i="40" s="1"/>
  <c r="J29" i="40" s="1"/>
  <c r="I11" i="40"/>
  <c r="I28" i="40"/>
  <c r="I29" i="40" s="1"/>
  <c r="H29" i="40"/>
  <c r="G28" i="40"/>
  <c r="G29" i="40" s="1"/>
  <c r="F28" i="40"/>
  <c r="F29" i="40" s="1"/>
  <c r="K27" i="40"/>
  <c r="K17" i="40"/>
  <c r="C28" i="40"/>
  <c r="C29" i="40" s="1"/>
  <c r="E26" i="40"/>
  <c r="E28" i="40" s="1"/>
  <c r="E29" i="40" s="1"/>
  <c r="G11" i="40"/>
  <c r="K5" i="40"/>
  <c r="J11" i="40"/>
  <c r="D26" i="40"/>
  <c r="D28" i="40" s="1"/>
  <c r="K11" i="40" l="1"/>
  <c r="K28" i="40"/>
  <c r="K26" i="40"/>
  <c r="K24" i="40"/>
  <c r="D29" i="40"/>
  <c r="K29" i="40" l="1"/>
  <c r="K25" i="40"/>
  <c r="X9" i="17" l="1"/>
  <c r="J5" i="17"/>
  <c r="L5" i="17" s="1"/>
  <c r="H5" i="17"/>
  <c r="H6" i="17"/>
  <c r="Z9" i="17" l="1"/>
  <c r="AA9" i="17"/>
  <c r="M5" i="17"/>
  <c r="C50" i="7" l="1"/>
  <c r="C50" i="43" s="1"/>
  <c r="AE16" i="17" s="1"/>
  <c r="M12" i="33"/>
  <c r="M12" i="19" s="1"/>
  <c r="H23" i="19"/>
  <c r="C7" i="33"/>
  <c r="C6" i="33" s="1"/>
  <c r="C23" i="33" s="1"/>
  <c r="H65" i="19"/>
  <c r="H53" i="19"/>
  <c r="C16" i="17" l="1"/>
  <c r="AS20" i="17"/>
  <c r="AE25" i="17"/>
  <c r="AM16" i="17"/>
  <c r="AM25" i="17" s="1"/>
  <c r="AE12" i="17"/>
  <c r="D7" i="33"/>
  <c r="H33" i="19"/>
  <c r="N43" i="33"/>
  <c r="N46" i="19" s="1"/>
  <c r="N50" i="33"/>
  <c r="N54" i="33" s="1"/>
  <c r="N63" i="33" s="1"/>
  <c r="N7" i="33"/>
  <c r="N7" i="19" s="1"/>
  <c r="H7" i="19"/>
  <c r="H34" i="19"/>
  <c r="H37" i="19" s="1"/>
  <c r="H57" i="19"/>
  <c r="J9" i="17"/>
  <c r="L9" i="17" s="1"/>
  <c r="H9" i="17"/>
  <c r="X6" i="17"/>
  <c r="X7" i="17"/>
  <c r="AZ6" i="17"/>
  <c r="J6" i="17"/>
  <c r="AN5" i="17"/>
  <c r="AN11" i="17" s="1"/>
  <c r="AN24" i="17" s="1"/>
  <c r="L38" i="7"/>
  <c r="L38" i="43" s="1"/>
  <c r="L50" i="7"/>
  <c r="L50" i="43" s="1"/>
  <c r="L62" i="7"/>
  <c r="L62" i="43" s="1"/>
  <c r="I50" i="7"/>
  <c r="I50" i="43" s="1"/>
  <c r="I62" i="7"/>
  <c r="I62" i="43" s="1"/>
  <c r="E38" i="7"/>
  <c r="E38" i="43" s="1"/>
  <c r="E62" i="7"/>
  <c r="E62" i="43" s="1"/>
  <c r="L23" i="7"/>
  <c r="L23" i="43" s="1"/>
  <c r="L33" i="7"/>
  <c r="L33" i="43" s="1"/>
  <c r="I33" i="7"/>
  <c r="I33" i="43" s="1"/>
  <c r="AE23" i="17" l="1"/>
  <c r="AM12" i="17"/>
  <c r="AM23" i="17" s="1"/>
  <c r="K16" i="17"/>
  <c r="C12" i="17"/>
  <c r="Q19" i="17"/>
  <c r="BA20" i="17"/>
  <c r="AS25" i="17"/>
  <c r="AS23" i="17"/>
  <c r="M9" i="17"/>
  <c r="AA7" i="17"/>
  <c r="Z7" i="17"/>
  <c r="AN26" i="17"/>
  <c r="Z6" i="17"/>
  <c r="AA6" i="17"/>
  <c r="BC6" i="17"/>
  <c r="BB6" i="17"/>
  <c r="D7" i="19"/>
  <c r="E7" i="33"/>
  <c r="D6" i="33"/>
  <c r="D23" i="33" s="1"/>
  <c r="D34" i="33" s="1"/>
  <c r="H35" i="33" s="1"/>
  <c r="N50" i="7"/>
  <c r="N50" i="43" s="1"/>
  <c r="N33" i="7"/>
  <c r="N33" i="43" s="1"/>
  <c r="L33" i="19"/>
  <c r="N38" i="7"/>
  <c r="N38" i="43" s="1"/>
  <c r="I65" i="19"/>
  <c r="N62" i="7"/>
  <c r="N62" i="43" s="1"/>
  <c r="L65" i="19"/>
  <c r="O62" i="7"/>
  <c r="O62" i="43" s="1"/>
  <c r="O38" i="7"/>
  <c r="O38" i="43" s="1"/>
  <c r="I33" i="19"/>
  <c r="O33" i="7"/>
  <c r="O33" i="43" s="1"/>
  <c r="E41" i="19"/>
  <c r="L23" i="19"/>
  <c r="D65" i="19"/>
  <c r="L53" i="19"/>
  <c r="N23" i="7"/>
  <c r="N23" i="43" s="1"/>
  <c r="O23" i="7"/>
  <c r="O23" i="43" s="1"/>
  <c r="I53" i="19"/>
  <c r="O50" i="7"/>
  <c r="O50" i="43" s="1"/>
  <c r="D53" i="19"/>
  <c r="L41" i="19"/>
  <c r="D33" i="19"/>
  <c r="D41" i="19"/>
  <c r="E53" i="19"/>
  <c r="E33" i="19"/>
  <c r="E62" i="19"/>
  <c r="E67" i="19" s="1"/>
  <c r="M6" i="33"/>
  <c r="E54" i="7"/>
  <c r="E54" i="43" s="1"/>
  <c r="I54" i="7"/>
  <c r="I54" i="43" s="1"/>
  <c r="L54" i="7"/>
  <c r="L54" i="43" s="1"/>
  <c r="J7" i="17"/>
  <c r="L7" i="17" s="1"/>
  <c r="X5" i="17"/>
  <c r="AZ5" i="17"/>
  <c r="H7" i="17"/>
  <c r="I34" i="7"/>
  <c r="I34" i="43" s="1"/>
  <c r="AO5" i="17"/>
  <c r="AO11" i="17" s="1"/>
  <c r="AO24" i="17" s="1"/>
  <c r="L34" i="7"/>
  <c r="L34" i="43" s="1"/>
  <c r="I22" i="41"/>
  <c r="D22" i="41"/>
  <c r="BA25" i="17" l="1"/>
  <c r="BA23" i="17"/>
  <c r="Q25" i="17"/>
  <c r="Y19" i="17"/>
  <c r="Q23" i="17"/>
  <c r="C23" i="17"/>
  <c r="K12" i="17"/>
  <c r="M7" i="17"/>
  <c r="AZ11" i="17"/>
  <c r="AZ24" i="17" s="1"/>
  <c r="AZ26" i="17" s="1"/>
  <c r="BB5" i="17"/>
  <c r="BB11" i="17" s="1"/>
  <c r="BB24" i="17" s="1"/>
  <c r="BC5" i="17"/>
  <c r="BC11" i="17" s="1"/>
  <c r="BC24" i="17" s="1"/>
  <c r="AO26" i="17"/>
  <c r="X11" i="17"/>
  <c r="X24" i="17" s="1"/>
  <c r="X26" i="17" s="1"/>
  <c r="Z5" i="17"/>
  <c r="Z11" i="17" s="1"/>
  <c r="Z24" i="17" s="1"/>
  <c r="Z26" i="17" s="1"/>
  <c r="AA5" i="17"/>
  <c r="AA11" i="17" s="1"/>
  <c r="AA24" i="17" s="1"/>
  <c r="H11" i="17"/>
  <c r="H24" i="17" s="1"/>
  <c r="H26" i="17" s="1"/>
  <c r="J11" i="17"/>
  <c r="J24" i="17" s="1"/>
  <c r="J26" i="17" s="1"/>
  <c r="E6" i="33"/>
  <c r="E7" i="19"/>
  <c r="O7" i="33"/>
  <c r="O7" i="19" s="1"/>
  <c r="C7" i="34" s="1"/>
  <c r="E22" i="41"/>
  <c r="N6" i="33"/>
  <c r="N6" i="19" s="1"/>
  <c r="D6" i="19"/>
  <c r="D6" i="17" s="1"/>
  <c r="C34" i="33"/>
  <c r="N34" i="7"/>
  <c r="N34" i="43" s="1"/>
  <c r="L34" i="19"/>
  <c r="L37" i="19" s="1"/>
  <c r="H66" i="19"/>
  <c r="H69" i="19" s="1"/>
  <c r="H70" i="19" s="1"/>
  <c r="E65" i="19"/>
  <c r="O41" i="19"/>
  <c r="C6" i="35" s="1"/>
  <c r="E57" i="19"/>
  <c r="L57" i="19"/>
  <c r="N53" i="19"/>
  <c r="L63" i="7"/>
  <c r="L63" i="43" s="1"/>
  <c r="L64" i="43" s="1"/>
  <c r="N54" i="7"/>
  <c r="N54" i="43" s="1"/>
  <c r="I63" i="7"/>
  <c r="I63" i="43" s="1"/>
  <c r="I64" i="43" s="1"/>
  <c r="I57" i="19"/>
  <c r="N33" i="19"/>
  <c r="O33" i="19"/>
  <c r="C33" i="34" s="1"/>
  <c r="N65" i="19"/>
  <c r="I34" i="19"/>
  <c r="I37" i="19" s="1"/>
  <c r="O34" i="7"/>
  <c r="O34" i="43" s="1"/>
  <c r="D57" i="19"/>
  <c r="N41" i="19"/>
  <c r="E63" i="7"/>
  <c r="E63" i="43" s="1"/>
  <c r="E64" i="43" s="1"/>
  <c r="O54" i="7"/>
  <c r="O54" i="43" s="1"/>
  <c r="O53" i="19"/>
  <c r="C18" i="35" s="1"/>
  <c r="H67" i="33"/>
  <c r="O59" i="33"/>
  <c r="D6" i="35" l="1"/>
  <c r="J6" i="35"/>
  <c r="K6" i="35"/>
  <c r="L6" i="35"/>
  <c r="E6" i="35"/>
  <c r="M6" i="35"/>
  <c r="F6" i="35"/>
  <c r="N6" i="35"/>
  <c r="G6" i="35"/>
  <c r="O6" i="35"/>
  <c r="H6" i="35"/>
  <c r="I6" i="35"/>
  <c r="F18" i="35"/>
  <c r="N18" i="35"/>
  <c r="G18" i="35"/>
  <c r="O18" i="35"/>
  <c r="H18" i="35"/>
  <c r="I18" i="35"/>
  <c r="J18" i="35"/>
  <c r="K18" i="35"/>
  <c r="L18" i="35"/>
  <c r="E18" i="35"/>
  <c r="M18" i="35"/>
  <c r="H33" i="34"/>
  <c r="F33" i="34"/>
  <c r="L33" i="34"/>
  <c r="E33" i="34"/>
  <c r="J33" i="34"/>
  <c r="O33" i="34"/>
  <c r="M33" i="34"/>
  <c r="G33" i="34"/>
  <c r="K33" i="34"/>
  <c r="D33" i="34"/>
  <c r="N33" i="34"/>
  <c r="I33" i="34"/>
  <c r="G7" i="34"/>
  <c r="E7" i="34"/>
  <c r="D7" i="34"/>
  <c r="I7" i="34"/>
  <c r="M7" i="34"/>
  <c r="F7" i="34"/>
  <c r="J7" i="34"/>
  <c r="L7" i="34"/>
  <c r="K7" i="34"/>
  <c r="N7" i="34"/>
  <c r="H7" i="34"/>
  <c r="O7" i="34"/>
  <c r="Y25" i="17"/>
  <c r="BA32" i="17" s="1"/>
  <c r="Y23" i="17"/>
  <c r="D11" i="17"/>
  <c r="D24" i="17" s="1"/>
  <c r="D26" i="17" s="1"/>
  <c r="L6" i="17"/>
  <c r="L11" i="17" s="1"/>
  <c r="L24" i="17" s="1"/>
  <c r="AN31" i="17" s="1"/>
  <c r="BC26" i="17"/>
  <c r="BC28" i="17" s="1"/>
  <c r="BC31" i="17"/>
  <c r="AA26" i="17"/>
  <c r="P32" i="17"/>
  <c r="L26" i="17"/>
  <c r="BB26" i="17"/>
  <c r="BB31" i="17"/>
  <c r="E23" i="33"/>
  <c r="E6" i="19"/>
  <c r="E6" i="17" s="1"/>
  <c r="O6" i="33"/>
  <c r="O6" i="19" s="1"/>
  <c r="C6" i="34" s="1"/>
  <c r="O62" i="19"/>
  <c r="O63" i="33"/>
  <c r="N23" i="33"/>
  <c r="D23" i="19"/>
  <c r="E64" i="7"/>
  <c r="N63" i="7"/>
  <c r="L64" i="7"/>
  <c r="I64" i="7"/>
  <c r="D34" i="19"/>
  <c r="D37" i="19" s="1"/>
  <c r="C67" i="33"/>
  <c r="E67" i="7"/>
  <c r="O63" i="7"/>
  <c r="N57" i="19"/>
  <c r="D66" i="19"/>
  <c r="D69" i="19" s="1"/>
  <c r="O57" i="19"/>
  <c r="C22" i="35" s="1"/>
  <c r="E15" i="39"/>
  <c r="E24" i="39" s="1"/>
  <c r="F8" i="39"/>
  <c r="F9" i="39"/>
  <c r="F10" i="39"/>
  <c r="F11" i="39"/>
  <c r="F12" i="39"/>
  <c r="F13" i="39"/>
  <c r="F14" i="39"/>
  <c r="F16" i="39"/>
  <c r="F17" i="39"/>
  <c r="F18" i="39"/>
  <c r="F19" i="39"/>
  <c r="F20" i="39"/>
  <c r="F21" i="39"/>
  <c r="F22" i="39"/>
  <c r="F7" i="39"/>
  <c r="F41" i="39"/>
  <c r="F42" i="39"/>
  <c r="F43" i="39"/>
  <c r="F44" i="39"/>
  <c r="F45" i="39"/>
  <c r="F30" i="39"/>
  <c r="F31" i="39"/>
  <c r="F32" i="39"/>
  <c r="F33" i="39"/>
  <c r="F35" i="39"/>
  <c r="F37" i="39"/>
  <c r="F38" i="39"/>
  <c r="F39" i="39"/>
  <c r="C34" i="39"/>
  <c r="F34" i="39" s="1"/>
  <c r="E29" i="39"/>
  <c r="E40" i="39" s="1"/>
  <c r="E47" i="39" s="1"/>
  <c r="D29" i="39"/>
  <c r="O63" i="43" l="1"/>
  <c r="O64" i="7"/>
  <c r="P63" i="7"/>
  <c r="P7" i="34"/>
  <c r="O67" i="19"/>
  <c r="C32" i="35" s="1"/>
  <c r="C27" i="35"/>
  <c r="J6" i="34"/>
  <c r="G6" i="34"/>
  <c r="F6" i="34"/>
  <c r="K6" i="34"/>
  <c r="O6" i="34"/>
  <c r="H6" i="34"/>
  <c r="M6" i="34"/>
  <c r="D6" i="34"/>
  <c r="L6" i="34"/>
  <c r="E6" i="34"/>
  <c r="N6" i="34"/>
  <c r="I6" i="34"/>
  <c r="J22" i="35"/>
  <c r="K22" i="35"/>
  <c r="L22" i="35"/>
  <c r="E22" i="35"/>
  <c r="M22" i="35"/>
  <c r="F22" i="35"/>
  <c r="N22" i="35"/>
  <c r="G22" i="35"/>
  <c r="O22" i="35"/>
  <c r="H22" i="35"/>
  <c r="I22" i="35"/>
  <c r="E11" i="17"/>
  <c r="E24" i="17" s="1"/>
  <c r="E26" i="17" s="1"/>
  <c r="M6" i="17"/>
  <c r="M11" i="17" s="1"/>
  <c r="M24" i="17" s="1"/>
  <c r="P33" i="17"/>
  <c r="P33" i="34"/>
  <c r="P6" i="35"/>
  <c r="BB33" i="17"/>
  <c r="BB28" i="17"/>
  <c r="Z28" i="17"/>
  <c r="AN33" i="17"/>
  <c r="BC33" i="17"/>
  <c r="Q63" i="33"/>
  <c r="N23" i="19"/>
  <c r="N34" i="33"/>
  <c r="N34" i="19" s="1"/>
  <c r="N37" i="19" s="1"/>
  <c r="E34" i="33"/>
  <c r="O23" i="33"/>
  <c r="E23" i="19"/>
  <c r="O65" i="19"/>
  <c r="C30" i="35" s="1"/>
  <c r="N63" i="43"/>
  <c r="N64" i="43" s="1"/>
  <c r="D67" i="33"/>
  <c r="D68" i="33" s="1"/>
  <c r="N64" i="7"/>
  <c r="E66" i="19"/>
  <c r="E69" i="19" s="1"/>
  <c r="D70" i="19"/>
  <c r="L66" i="19"/>
  <c r="L69" i="19" s="1"/>
  <c r="L70" i="19" s="1"/>
  <c r="I66" i="19"/>
  <c r="I69" i="19" s="1"/>
  <c r="I70" i="19" s="1"/>
  <c r="O66" i="19"/>
  <c r="Q9" i="17"/>
  <c r="D30" i="35" l="1"/>
  <c r="J30" i="35"/>
  <c r="K30" i="35"/>
  <c r="L30" i="35"/>
  <c r="E30" i="35"/>
  <c r="M30" i="35"/>
  <c r="F30" i="35"/>
  <c r="N30" i="35"/>
  <c r="G30" i="35"/>
  <c r="O30" i="35"/>
  <c r="H30" i="35"/>
  <c r="I30" i="35"/>
  <c r="AO31" i="17"/>
  <c r="P30" i="17"/>
  <c r="M26" i="17"/>
  <c r="P6" i="34"/>
  <c r="K27" i="35"/>
  <c r="L27" i="35"/>
  <c r="E27" i="35"/>
  <c r="M27" i="35"/>
  <c r="F27" i="35"/>
  <c r="N27" i="35"/>
  <c r="G27" i="35"/>
  <c r="O27" i="35"/>
  <c r="H27" i="35"/>
  <c r="I27" i="35"/>
  <c r="J27" i="35"/>
  <c r="D27" i="35"/>
  <c r="O69" i="19"/>
  <c r="C31" i="35"/>
  <c r="D32" i="35"/>
  <c r="L32" i="35"/>
  <c r="E32" i="35"/>
  <c r="M32" i="35"/>
  <c r="F32" i="35"/>
  <c r="N32" i="35"/>
  <c r="Q32" i="35" s="1"/>
  <c r="G32" i="35"/>
  <c r="O32" i="35"/>
  <c r="H32" i="35"/>
  <c r="I32" i="35"/>
  <c r="J32" i="35"/>
  <c r="K32" i="35"/>
  <c r="O65" i="43"/>
  <c r="P63" i="43"/>
  <c r="O34" i="33"/>
  <c r="O23" i="19"/>
  <c r="C23" i="34" s="1"/>
  <c r="N67" i="33"/>
  <c r="E34" i="19"/>
  <c r="E37" i="19" s="1"/>
  <c r="E70" i="19" s="1"/>
  <c r="E67" i="33"/>
  <c r="N66" i="19"/>
  <c r="N69" i="19" s="1"/>
  <c r="N70" i="19" s="1"/>
  <c r="O64" i="43"/>
  <c r="P67" i="33"/>
  <c r="S34" i="19" l="1"/>
  <c r="O67" i="33"/>
  <c r="D31" i="35"/>
  <c r="G31" i="35"/>
  <c r="O31" i="35"/>
  <c r="H31" i="35"/>
  <c r="I31" i="35"/>
  <c r="J31" i="35"/>
  <c r="K31" i="35"/>
  <c r="L31" i="35"/>
  <c r="E31" i="35"/>
  <c r="M31" i="35"/>
  <c r="F31" i="35"/>
  <c r="N31" i="35"/>
  <c r="P31" i="17"/>
  <c r="P35" i="17" s="1"/>
  <c r="AO33" i="17"/>
  <c r="P27" i="35"/>
  <c r="P32" i="35"/>
  <c r="AA28" i="17"/>
  <c r="C34" i="35"/>
  <c r="G23" i="34"/>
  <c r="H23" i="34"/>
  <c r="E23" i="34"/>
  <c r="O23" i="34"/>
  <c r="I23" i="34"/>
  <c r="K23" i="34"/>
  <c r="D23" i="34"/>
  <c r="M23" i="34"/>
  <c r="L23" i="34"/>
  <c r="F23" i="34"/>
  <c r="N23" i="34"/>
  <c r="J23" i="34"/>
  <c r="P30" i="35"/>
  <c r="P34" i="17"/>
  <c r="Q34" i="33"/>
  <c r="O34" i="19"/>
  <c r="O37" i="19" l="1"/>
  <c r="AP33" i="17" s="1"/>
  <c r="C34" i="34"/>
  <c r="D34" i="35"/>
  <c r="F34" i="35"/>
  <c r="N34" i="35"/>
  <c r="G34" i="35"/>
  <c r="O34" i="35"/>
  <c r="H34" i="35"/>
  <c r="I34" i="35"/>
  <c r="J34" i="35"/>
  <c r="K34" i="35"/>
  <c r="L34" i="35"/>
  <c r="E34" i="35"/>
  <c r="M34" i="35"/>
  <c r="AP31" i="17"/>
  <c r="P23" i="34"/>
  <c r="P31" i="35"/>
  <c r="Z15" i="39"/>
  <c r="Y15" i="39"/>
  <c r="Y29" i="39"/>
  <c r="P34" i="35" l="1"/>
  <c r="D35" i="35"/>
  <c r="E35" i="35" s="1"/>
  <c r="F35" i="35" s="1"/>
  <c r="G35" i="35" s="1"/>
  <c r="H35" i="35" s="1"/>
  <c r="I35" i="35" s="1"/>
  <c r="J35" i="35" s="1"/>
  <c r="K35" i="35" s="1"/>
  <c r="L35" i="35" s="1"/>
  <c r="M35" i="35" s="1"/>
  <c r="N35" i="35" s="1"/>
  <c r="O35" i="35" s="1"/>
  <c r="F34" i="34"/>
  <c r="I34" i="34"/>
  <c r="M34" i="34"/>
  <c r="D34" i="34"/>
  <c r="L34" i="34"/>
  <c r="O34" i="34"/>
  <c r="N34" i="34"/>
  <c r="H34" i="34"/>
  <c r="K34" i="34"/>
  <c r="J34" i="34"/>
  <c r="E34" i="34"/>
  <c r="G34" i="34"/>
  <c r="C37" i="34"/>
  <c r="O70" i="19"/>
  <c r="AC46" i="39"/>
  <c r="AB46" i="39"/>
  <c r="AD45" i="39"/>
  <c r="AD44" i="39"/>
  <c r="AD43" i="39"/>
  <c r="AD42" i="39"/>
  <c r="AD41" i="39"/>
  <c r="AD39" i="39"/>
  <c r="AD38" i="39"/>
  <c r="AD37" i="39"/>
  <c r="AC36" i="39"/>
  <c r="AB36" i="39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E37" i="34" l="1"/>
  <c r="I37" i="34"/>
  <c r="L37" i="34"/>
  <c r="O37" i="34"/>
  <c r="K37" i="34"/>
  <c r="D37" i="34"/>
  <c r="G37" i="34"/>
  <c r="H37" i="34"/>
  <c r="N37" i="34"/>
  <c r="J37" i="34"/>
  <c r="F37" i="34"/>
  <c r="M37" i="34"/>
  <c r="P34" i="34"/>
  <c r="AD36" i="39"/>
  <c r="AB48" i="39"/>
  <c r="AD46" i="39"/>
  <c r="AD23" i="39"/>
  <c r="AD29" i="39"/>
  <c r="AC24" i="39"/>
  <c r="AC40" i="39"/>
  <c r="AC47" i="39" s="1"/>
  <c r="AD47" i="39" s="1"/>
  <c r="D38" i="34" l="1"/>
  <c r="E38" i="34" s="1"/>
  <c r="F38" i="34" s="1"/>
  <c r="G38" i="34" s="1"/>
  <c r="H38" i="34" s="1"/>
  <c r="I38" i="34" s="1"/>
  <c r="J38" i="34" s="1"/>
  <c r="K38" i="34" s="1"/>
  <c r="L38" i="34" s="1"/>
  <c r="M38" i="34" s="1"/>
  <c r="N38" i="34" s="1"/>
  <c r="O38" i="34" s="1"/>
  <c r="P37" i="34"/>
  <c r="AD24" i="39"/>
  <c r="AD48" i="39" s="1"/>
  <c r="AC48" i="39"/>
  <c r="AD40" i="39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6" i="39" l="1"/>
  <c r="F36" i="39" s="1"/>
  <c r="AY6" i="17" l="1"/>
  <c r="AV6" i="17"/>
  <c r="AY5" i="17"/>
  <c r="AV5" i="17"/>
  <c r="AV11" i="17" s="1"/>
  <c r="AV24" i="17" s="1"/>
  <c r="AV26" i="17" s="1"/>
  <c r="W7" i="17"/>
  <c r="T7" i="17"/>
  <c r="W6" i="17"/>
  <c r="T6" i="17"/>
  <c r="W5" i="17"/>
  <c r="T5" i="17"/>
  <c r="I6" i="17"/>
  <c r="AH5" i="17"/>
  <c r="AK5" i="17"/>
  <c r="I7" i="17"/>
  <c r="I9" i="17"/>
  <c r="AH6" i="17"/>
  <c r="AK6" i="17"/>
  <c r="I5" i="17"/>
  <c r="AY11" i="17" l="1"/>
  <c r="AY24" i="17" s="1"/>
  <c r="AY26" i="17" s="1"/>
  <c r="AH11" i="17"/>
  <c r="AH24" i="17" s="1"/>
  <c r="AH26" i="17" s="1"/>
  <c r="AK11" i="17"/>
  <c r="AK24" i="17" s="1"/>
  <c r="AK26" i="17" s="1"/>
  <c r="AM5" i="17"/>
  <c r="I11" i="17"/>
  <c r="I24" i="17" s="1"/>
  <c r="I26" i="17" s="1"/>
  <c r="AE6" i="17"/>
  <c r="AM6" i="17" s="1"/>
  <c r="Q6" i="17"/>
  <c r="Y6" i="17" s="1"/>
  <c r="AS6" i="17"/>
  <c r="BA6" i="17" s="1"/>
  <c r="C7" i="17"/>
  <c r="K7" i="17" s="1"/>
  <c r="AS5" i="17"/>
  <c r="BA5" i="17" s="1"/>
  <c r="C5" i="17"/>
  <c r="K5" i="17" s="1"/>
  <c r="C9" i="17"/>
  <c r="K9" i="17" s="1"/>
  <c r="Q7" i="17"/>
  <c r="Y7" i="17" s="1"/>
  <c r="F24" i="17"/>
  <c r="F26" i="17" s="1"/>
  <c r="Q5" i="17"/>
  <c r="Y5" i="17" s="1"/>
  <c r="AM11" i="17" l="1"/>
  <c r="AM24" i="17" s="1"/>
  <c r="AM26" i="17" s="1"/>
  <c r="BA11" i="17"/>
  <c r="BA24" i="17" s="1"/>
  <c r="AE11" i="17"/>
  <c r="AE24" i="17" s="1"/>
  <c r="AS11" i="17"/>
  <c r="AS24" i="17" s="1"/>
  <c r="AS26" i="17" s="1"/>
  <c r="Q11" i="17"/>
  <c r="Q24" i="17" s="1"/>
  <c r="Q26" i="17" s="1"/>
  <c r="BA26" i="17" l="1"/>
  <c r="AE26" i="17"/>
  <c r="Q29" i="35"/>
  <c r="Q31" i="35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40" i="39"/>
  <c r="D47" i="39" s="1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F46" i="39" s="1"/>
  <c r="C29" i="39"/>
  <c r="F29" i="39" s="1"/>
  <c r="C23" i="39"/>
  <c r="F23" i="39" s="1"/>
  <c r="C15" i="39"/>
  <c r="F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G46" i="39"/>
  <c r="H46" i="39" s="1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W29" i="39"/>
  <c r="U29" i="39"/>
  <c r="U40" i="39" s="1"/>
  <c r="T29" i="39"/>
  <c r="S29" i="39"/>
  <c r="Q29" i="39"/>
  <c r="P29" i="39"/>
  <c r="O29" i="39"/>
  <c r="M29" i="39"/>
  <c r="L29" i="39"/>
  <c r="L40" i="39" s="1"/>
  <c r="J29" i="39"/>
  <c r="I29" i="39"/>
  <c r="I40" i="39" s="1"/>
  <c r="G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G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AA36" i="39" l="1"/>
  <c r="U47" i="39"/>
  <c r="H15" i="39"/>
  <c r="AA23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J24" i="39"/>
  <c r="V15" i="39"/>
  <c r="G40" i="39"/>
  <c r="H40" i="39" s="1"/>
  <c r="S40" i="39"/>
  <c r="S47" i="39" s="1"/>
  <c r="C24" i="39"/>
  <c r="F24" i="39" s="1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F40" i="39" s="1"/>
  <c r="L47" i="39"/>
  <c r="I47" i="39"/>
  <c r="I24" i="39"/>
  <c r="L24" i="39"/>
  <c r="O24" i="39"/>
  <c r="S24" i="39"/>
  <c r="W24" i="39"/>
  <c r="X24" i="39" s="1"/>
  <c r="Y24" i="39"/>
  <c r="T24" i="39"/>
  <c r="R29" i="39"/>
  <c r="V29" i="39"/>
  <c r="Z48" i="39" l="1"/>
  <c r="I48" i="39"/>
  <c r="L48" i="39"/>
  <c r="H19" i="39"/>
  <c r="G23" i="39"/>
  <c r="P48" i="39"/>
  <c r="T48" i="39"/>
  <c r="S48" i="39"/>
  <c r="W47" i="39"/>
  <c r="X47" i="39" s="1"/>
  <c r="X48" i="39" s="1"/>
  <c r="AA24" i="39"/>
  <c r="Y47" i="39"/>
  <c r="AA47" i="39" s="1"/>
  <c r="AA40" i="39"/>
  <c r="K24" i="39"/>
  <c r="G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F47" i="39" s="1"/>
  <c r="Y48" i="39" l="1"/>
  <c r="M48" i="39"/>
  <c r="J48" i="39"/>
  <c r="H23" i="39"/>
  <c r="G24" i="39"/>
  <c r="H24" i="39" s="1"/>
  <c r="H48" i="39" s="1"/>
  <c r="F48" i="39"/>
  <c r="K48" i="39"/>
  <c r="O48" i="39"/>
  <c r="AA48" i="39"/>
  <c r="V48" i="39"/>
  <c r="R48" i="39"/>
  <c r="N48" i="39"/>
  <c r="S7" i="35" l="1"/>
  <c r="S8" i="35"/>
  <c r="S9" i="35"/>
  <c r="S10" i="35"/>
  <c r="S12" i="35"/>
  <c r="S15" i="35"/>
  <c r="S16" i="35"/>
  <c r="S19" i="35"/>
  <c r="S20" i="35"/>
  <c r="S21" i="35"/>
  <c r="S23" i="35"/>
  <c r="S25" i="35"/>
  <c r="S26" i="35"/>
  <c r="S27" i="35"/>
  <c r="S29" i="35"/>
  <c r="F65" i="19"/>
  <c r="F53" i="19"/>
  <c r="F41" i="19"/>
  <c r="J38" i="7"/>
  <c r="G62" i="7"/>
  <c r="G62" i="43" s="1"/>
  <c r="J62" i="7"/>
  <c r="G50" i="7"/>
  <c r="J50" i="7"/>
  <c r="C62" i="7"/>
  <c r="C62" i="43" s="1"/>
  <c r="C38" i="7"/>
  <c r="F33" i="19"/>
  <c r="F23" i="19"/>
  <c r="J33" i="7"/>
  <c r="G33" i="7"/>
  <c r="G33" i="43" s="1"/>
  <c r="C33" i="7"/>
  <c r="C33" i="43" s="1"/>
  <c r="C33" i="19" s="1"/>
  <c r="J23" i="7"/>
  <c r="C23" i="7"/>
  <c r="K46" i="19"/>
  <c r="K7" i="33"/>
  <c r="K7" i="19" s="1"/>
  <c r="G7" i="33"/>
  <c r="G7" i="19" s="1"/>
  <c r="J62" i="43" l="1"/>
  <c r="J65" i="19" s="1"/>
  <c r="J38" i="43"/>
  <c r="J41" i="19" s="1"/>
  <c r="M38" i="7"/>
  <c r="M38" i="43" s="1"/>
  <c r="C38" i="43"/>
  <c r="J33" i="43"/>
  <c r="J33" i="19" s="1"/>
  <c r="M23" i="7"/>
  <c r="M23" i="43" s="1"/>
  <c r="C23" i="43"/>
  <c r="J23" i="43"/>
  <c r="J23" i="19" s="1"/>
  <c r="J50" i="43"/>
  <c r="J53" i="19" s="1"/>
  <c r="M50" i="7"/>
  <c r="M50" i="43" s="1"/>
  <c r="G50" i="43"/>
  <c r="G53" i="19" s="1"/>
  <c r="K65" i="19"/>
  <c r="G33" i="19"/>
  <c r="K33" i="19"/>
  <c r="M62" i="7"/>
  <c r="M62" i="43" s="1"/>
  <c r="K53" i="19"/>
  <c r="G23" i="19"/>
  <c r="K23" i="19"/>
  <c r="G65" i="19"/>
  <c r="G46" i="19"/>
  <c r="T9" i="17" s="1"/>
  <c r="K41" i="19"/>
  <c r="C53" i="19"/>
  <c r="M33" i="7"/>
  <c r="M33" i="43" s="1"/>
  <c r="M50" i="33"/>
  <c r="W9" i="17"/>
  <c r="W11" i="17" s="1"/>
  <c r="W24" i="17" s="1"/>
  <c r="W26" i="17" s="1"/>
  <c r="M7" i="33"/>
  <c r="M23" i="33"/>
  <c r="M34" i="33" s="1"/>
  <c r="M43" i="33"/>
  <c r="M46" i="19" s="1"/>
  <c r="J54" i="7"/>
  <c r="J54" i="43" s="1"/>
  <c r="K23" i="17"/>
  <c r="K25" i="17"/>
  <c r="AM32" i="17" s="1"/>
  <c r="F34" i="19"/>
  <c r="F37" i="19" s="1"/>
  <c r="F57" i="19"/>
  <c r="G34" i="7"/>
  <c r="G34" i="43" s="1"/>
  <c r="G54" i="7"/>
  <c r="C54" i="7"/>
  <c r="C54" i="43" s="1"/>
  <c r="J34" i="7"/>
  <c r="C34" i="7"/>
  <c r="C34" i="43" s="1"/>
  <c r="C34" i="19" s="1"/>
  <c r="C37" i="19" s="1"/>
  <c r="Y9" i="17" l="1"/>
  <c r="Y11" i="17" s="1"/>
  <c r="Y24" i="17" s="1"/>
  <c r="T11" i="17"/>
  <c r="T24" i="17" s="1"/>
  <c r="T26" i="17" s="1"/>
  <c r="BA28" i="17"/>
  <c r="D11" i="35"/>
  <c r="P11" i="35" s="1"/>
  <c r="J34" i="43"/>
  <c r="J34" i="19" s="1"/>
  <c r="J37" i="19" s="1"/>
  <c r="G63" i="7"/>
  <c r="G63" i="43" s="1"/>
  <c r="G64" i="43" s="1"/>
  <c r="G54" i="43"/>
  <c r="K34" i="19"/>
  <c r="K37" i="19" s="1"/>
  <c r="M53" i="19"/>
  <c r="K57" i="19"/>
  <c r="G41" i="19"/>
  <c r="M65" i="19"/>
  <c r="G34" i="19"/>
  <c r="G37" i="19" s="1"/>
  <c r="C65" i="19"/>
  <c r="M33" i="19"/>
  <c r="C41" i="19"/>
  <c r="K67" i="33"/>
  <c r="M38" i="33"/>
  <c r="M54" i="33" s="1"/>
  <c r="M63" i="33" s="1"/>
  <c r="M34" i="7"/>
  <c r="M34" i="43" s="1"/>
  <c r="J63" i="7"/>
  <c r="J63" i="43" s="1"/>
  <c r="J57" i="19"/>
  <c r="M54" i="7"/>
  <c r="M54" i="43" s="1"/>
  <c r="C63" i="7"/>
  <c r="C63" i="43" s="1"/>
  <c r="C64" i="43" s="1"/>
  <c r="Y26" i="17" l="1"/>
  <c r="BA33" i="17" s="1"/>
  <c r="BA31" i="17"/>
  <c r="J64" i="43"/>
  <c r="G64" i="7"/>
  <c r="S11" i="35"/>
  <c r="D18" i="35"/>
  <c r="P18" i="35" s="1"/>
  <c r="G57" i="19"/>
  <c r="J64" i="7"/>
  <c r="M41" i="19"/>
  <c r="C57" i="19"/>
  <c r="M63" i="7"/>
  <c r="C66" i="19"/>
  <c r="C69" i="19" s="1"/>
  <c r="C64" i="7"/>
  <c r="M63" i="43" l="1"/>
  <c r="S30" i="35"/>
  <c r="S18" i="35"/>
  <c r="G66" i="19"/>
  <c r="G69" i="19" s="1"/>
  <c r="G70" i="19" s="1"/>
  <c r="K66" i="19"/>
  <c r="K69" i="19" s="1"/>
  <c r="K70" i="19" s="1"/>
  <c r="F66" i="19"/>
  <c r="F69" i="19" s="1"/>
  <c r="F70" i="19" s="1"/>
  <c r="J66" i="19"/>
  <c r="J69" i="19" s="1"/>
  <c r="J70" i="19" s="1"/>
  <c r="M57" i="19"/>
  <c r="M64" i="7"/>
  <c r="G67" i="33"/>
  <c r="C68" i="33" s="1"/>
  <c r="M64" i="43" l="1"/>
  <c r="S6" i="35"/>
  <c r="D22" i="35"/>
  <c r="P22" i="35" s="1"/>
  <c r="S57" i="19"/>
  <c r="S47" i="19"/>
  <c r="S48" i="19"/>
  <c r="S56" i="19"/>
  <c r="S55" i="19"/>
  <c r="S43" i="19"/>
  <c r="S45" i="19"/>
  <c r="S54" i="19"/>
  <c r="S49" i="19"/>
  <c r="S52" i="19"/>
  <c r="S42" i="19"/>
  <c r="S51" i="19"/>
  <c r="S50" i="19"/>
  <c r="S44" i="19"/>
  <c r="S46" i="19"/>
  <c r="S53" i="19"/>
  <c r="S41" i="19"/>
  <c r="M66" i="19"/>
  <c r="M67" i="33"/>
  <c r="Q9" i="35"/>
  <c r="Q19" i="35"/>
  <c r="Q12" i="35"/>
  <c r="Q27" i="35"/>
  <c r="Q10" i="35"/>
  <c r="Q22" i="35"/>
  <c r="Q26" i="35"/>
  <c r="Q20" i="35"/>
  <c r="Q23" i="35"/>
  <c r="Q15" i="35"/>
  <c r="Q8" i="35"/>
  <c r="Q18" i="35"/>
  <c r="Q25" i="35"/>
  <c r="Q30" i="35"/>
  <c r="Q16" i="35"/>
  <c r="Q11" i="35"/>
  <c r="Q7" i="35"/>
  <c r="Q21" i="35"/>
  <c r="C7" i="15"/>
  <c r="M6" i="19"/>
  <c r="S22" i="35" l="1"/>
  <c r="M69" i="19"/>
  <c r="C6" i="19"/>
  <c r="C6" i="17" s="1"/>
  <c r="M23" i="19"/>
  <c r="C11" i="17" l="1"/>
  <c r="C24" i="17" s="1"/>
  <c r="C26" i="17" s="1"/>
  <c r="K6" i="17"/>
  <c r="S23" i="19"/>
  <c r="S11" i="19"/>
  <c r="S9" i="19"/>
  <c r="S5" i="19"/>
  <c r="S17" i="19"/>
  <c r="S13" i="19"/>
  <c r="S18" i="19"/>
  <c r="S8" i="19"/>
  <c r="S16" i="19"/>
  <c r="S21" i="19"/>
  <c r="S22" i="19"/>
  <c r="S20" i="19"/>
  <c r="S10" i="19"/>
  <c r="S14" i="19"/>
  <c r="S19" i="19"/>
  <c r="S15" i="19"/>
  <c r="S12" i="19"/>
  <c r="S7" i="19"/>
  <c r="S6" i="19"/>
  <c r="C23" i="19"/>
  <c r="C70" i="19"/>
  <c r="K11" i="17" l="1"/>
  <c r="K24" i="17" s="1"/>
  <c r="AM31" i="17" s="1"/>
  <c r="S31" i="35"/>
  <c r="Q34" i="35"/>
  <c r="M34" i="19"/>
  <c r="K26" i="17" l="1"/>
  <c r="M37" i="19"/>
  <c r="M70" i="19" s="1"/>
  <c r="AM33" i="17" l="1"/>
  <c r="Y28" i="17"/>
  <c r="W28" i="17" s="1"/>
</calcChain>
</file>

<file path=xl/sharedStrings.xml><?xml version="1.0" encoding="utf-8"?>
<sst xmlns="http://schemas.openxmlformats.org/spreadsheetml/2006/main" count="2852" uniqueCount="690">
  <si>
    <t>Összesen:</t>
  </si>
  <si>
    <t>Budakeszi Város Önkormányzatának fennálló több évre kiható kötelezettségvállalásainak részletezése</t>
  </si>
  <si>
    <t>Hitel futamidő vége</t>
  </si>
  <si>
    <t>Polgármesteri Hivatal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</si>
  <si>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</si>
  <si>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</si>
  <si>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</si>
  <si>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</si>
  <si>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</si>
  <si>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</si>
  <si>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</si>
  <si>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</si>
  <si>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</si>
  <si>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</si>
  <si>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</si>
  <si>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</si>
  <si>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</si>
  <si>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</si>
  <si>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</si>
  <si>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</si>
  <si>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</si>
  <si>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</si>
  <si>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</si>
  <si>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</si>
  <si>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</si>
  <si>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</si>
  <si>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</si>
  <si>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</si>
  <si>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</si>
  <si>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</si>
  <si>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</si>
  <si>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</si>
  <si>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</si>
  <si>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</si>
  <si>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</si>
  <si>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</si>
  <si>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</si>
  <si>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</si>
  <si>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</si>
  <si>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</si>
  <si>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</si>
  <si>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</si>
  <si>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</si>
  <si>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</si>
  <si>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</si>
  <si>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</si>
  <si>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</si>
  <si>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</si>
  <si>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</si>
  <si>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</si>
  <si>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</si>
  <si>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</si>
  <si>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</si>
  <si>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</si>
  <si>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</si>
  <si>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</si>
  <si>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</si>
  <si>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</si>
  <si>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</si>
  <si>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</si>
  <si>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</si>
  <si>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</si>
  <si>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</si>
  <si>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>Mindösszesen:</t>
  </si>
  <si>
    <t>-mezőőr</t>
  </si>
  <si>
    <t xml:space="preserve">-polgármester (különleges jogállású) 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</si>
  <si>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</si>
  <si>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</si>
  <si>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</si>
  <si>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</si>
  <si>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ebből egyéb működési célú támogatások bevételei</t>
  </si>
  <si>
    <t>2.11</t>
  </si>
  <si>
    <t>2.12</t>
  </si>
  <si>
    <t>2.13</t>
  </si>
  <si>
    <t>-ebből társulásoktól átvett támogatások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</si>
  <si>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</si>
  <si>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</si>
  <si>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</si>
  <si>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</si>
  <si>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</si>
  <si>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</si>
  <si>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</si>
  <si>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</si>
  <si>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</si>
  <si>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</si>
  <si>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</si>
  <si>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</si>
  <si>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</si>
  <si>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</si>
  <si>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</si>
  <si>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</si>
  <si>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</si>
  <si>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</si>
  <si>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</si>
  <si>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</si>
  <si>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</si>
  <si>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</si>
  <si>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</si>
  <si>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</si>
  <si>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</si>
  <si>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</si>
  <si>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</si>
  <si>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</si>
  <si>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</si>
  <si>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</si>
  <si>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</si>
  <si>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</si>
  <si>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</si>
  <si>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</si>
  <si>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Felhalmozási célú támogatások áll.házt.belülről</t>
  </si>
  <si>
    <t>ssz.</t>
  </si>
  <si>
    <t>Erkel Ferenc Művelődési Központ</t>
  </si>
  <si>
    <t>Működési célú támogatások áll.házt.belülről</t>
  </si>
  <si>
    <t>Dologi kiadások</t>
  </si>
  <si>
    <t>13.1</t>
  </si>
  <si>
    <t>13.2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</si>
  <si>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</si>
  <si>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</si>
  <si>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</si>
  <si>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</si>
  <si>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</si>
  <si>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</si>
  <si>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</si>
  <si>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</si>
  <si>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</si>
  <si>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</si>
  <si>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</si>
  <si>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</si>
  <si>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</si>
  <si>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</si>
  <si>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</si>
  <si>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</si>
  <si>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</si>
  <si>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</si>
  <si>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</si>
  <si>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</si>
  <si>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</si>
  <si>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</si>
  <si>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</si>
  <si>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</si>
  <si>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</si>
  <si>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</si>
  <si>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</si>
  <si>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</si>
  <si>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</si>
  <si>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</si>
  <si>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</si>
  <si>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</si>
  <si>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</si>
  <si>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</si>
  <si>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</si>
  <si>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</si>
  <si>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</si>
  <si>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</si>
  <si>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</si>
  <si>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</si>
  <si>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</si>
  <si>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</si>
  <si>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</si>
  <si>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</si>
  <si>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</si>
  <si>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</si>
  <si>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</si>
  <si>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</si>
  <si>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</si>
  <si>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BVV támogatása</t>
  </si>
  <si>
    <t>Iskolaorvos</t>
  </si>
  <si>
    <t>Telekadóból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</si>
  <si>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</si>
  <si>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</si>
  <si>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</si>
  <si>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</si>
  <si>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</si>
  <si>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</si>
  <si>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</si>
  <si>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</si>
  <si>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</si>
  <si>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</si>
  <si>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</si>
  <si>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</si>
  <si>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>göngyölt összeg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</si>
  <si>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</si>
  <si>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</si>
  <si>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</si>
  <si>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</si>
  <si>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</si>
  <si>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</si>
  <si>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Civil szervezetek támogatása</t>
  </si>
  <si>
    <t>Mosolyvár Bölcsőde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</si>
  <si>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</si>
  <si>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</si>
  <si>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</si>
  <si>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</si>
  <si>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</si>
  <si>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</si>
  <si>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</si>
  <si>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</si>
  <si>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</si>
  <si>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</si>
  <si>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</si>
  <si>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</si>
  <si>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</si>
  <si>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</si>
  <si>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</si>
  <si>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Nem rendszeres települési támogatások  </t>
  </si>
  <si>
    <t>Rendkívüli települési támogatás</t>
  </si>
  <si>
    <t>Támogatások összesen:</t>
  </si>
  <si>
    <t>Intézmény</t>
  </si>
  <si>
    <t>9</t>
  </si>
  <si>
    <t>20.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</si>
  <si>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</si>
  <si>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</si>
  <si>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</si>
  <si>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</si>
  <si>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tőke</t>
  </si>
  <si>
    <t xml:space="preserve">Pitypang Sport Óvoda közalkalmazott </t>
  </si>
  <si>
    <t>Budakeszi Város Önkormányzata</t>
  </si>
  <si>
    <t>Tartalékok (11. mell. 1. - 4. pont)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</si>
  <si>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</si>
  <si>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</si>
  <si>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</si>
  <si>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</si>
  <si>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</si>
  <si>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</si>
  <si>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</si>
  <si>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</si>
  <si>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</si>
  <si>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</si>
  <si>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</si>
  <si>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</si>
  <si>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</si>
  <si>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</si>
  <si>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</si>
  <si>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</si>
  <si>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</si>
  <si>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</si>
  <si>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</si>
  <si>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</si>
  <si>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</si>
  <si>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</si>
  <si>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</si>
  <si>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</si>
  <si>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</si>
  <si>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</si>
  <si>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</si>
  <si>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</si>
  <si>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</si>
  <si>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Fizetési kötelezettséggel csökkentett saját bevétel 50%-a (07-12)</t>
  </si>
  <si>
    <t>-ebből Környezetvédelmi  alap</t>
  </si>
  <si>
    <t>FELHELMOZÁSI CÉLÚ KÖLTSÉGVETÉSI KIADÁSOK ÖSSZESEN:</t>
  </si>
  <si>
    <t>- ebből fejlesztési céltartalék</t>
  </si>
  <si>
    <t>Működési célú bevételek és kiadások egyenlege</t>
  </si>
  <si>
    <t>Felhalmozási célú bevételek és kiadások egyenlege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</si>
  <si>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</si>
  <si>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</si>
  <si>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</si>
  <si>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</si>
  <si>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</si>
  <si>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</si>
  <si>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</si>
  <si>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</si>
  <si>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</si>
  <si>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</si>
  <si>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</si>
  <si>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</si>
  <si>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</si>
  <si>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</si>
  <si>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</si>
  <si>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-ebből Útépítési alap</t>
  </si>
  <si>
    <t>-ebből Temetőfejlesztési alap</t>
  </si>
  <si>
    <t>12</t>
  </si>
  <si>
    <t>13</t>
  </si>
  <si>
    <t>15</t>
  </si>
  <si>
    <t>16</t>
  </si>
  <si>
    <t>-ebből Általános fejlesztési alap</t>
  </si>
  <si>
    <t>június</t>
  </si>
  <si>
    <t>-ebből Közbiztonsági, katasztrófavédelmi alap</t>
  </si>
  <si>
    <t>Hitelösszeg</t>
  </si>
  <si>
    <t>OTP Bank 
fejlesztési hitel</t>
  </si>
  <si>
    <t>Tulajdonosi bevételek</t>
  </si>
  <si>
    <t>Budakeszi városközpont ingatla felvásárlások</t>
  </si>
  <si>
    <t>Közlekedésfejlesztési pályázat
VEKOP-5.3.2-15-2016-00032</t>
  </si>
  <si>
    <t>PM_Csapadékvíz pályázat</t>
  </si>
  <si>
    <t>Nagy Gáspár Alapítvány támogatás</t>
  </si>
  <si>
    <t>-ebből egyéb központi kezelésű előirányzattól átvett támogatások B16</t>
  </si>
  <si>
    <t>Egészséges Budapest Program eszközfejlesztés</t>
  </si>
  <si>
    <t>Budakeszi Város Német Önkormámyzat támogatása</t>
  </si>
  <si>
    <t>ebből Tájház működési támogatása</t>
  </si>
  <si>
    <t>Budakeszi Egészségügyi Központ</t>
  </si>
  <si>
    <t>074031 
Család és nővédelmi egészségügyi gondozás</t>
  </si>
  <si>
    <t>072210 
Járóbetegek gyógyító szakellátása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</si>
  <si>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</si>
  <si>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</si>
  <si>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</si>
  <si>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</si>
  <si>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</si>
  <si>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</si>
  <si>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</si>
  <si>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</si>
  <si>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</si>
  <si>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</si>
  <si>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-ebből előleg 2017. évi folyósítás</t>
  </si>
  <si>
    <t>-ebből előleg 2018. évi folyósítás</t>
  </si>
  <si>
    <t>24.  melléklet az önkormányzat  2020. évi     költségvetéséről szóló  …./2020…….rendeletéhez</t>
  </si>
  <si>
    <t>Vass Miklós Alapítvány támogatása</t>
  </si>
  <si>
    <t>Cserkész Dzsembori fiatalok támogatása</t>
  </si>
  <si>
    <t>Budakörnyéki Médiaszolgáltató támogatása</t>
  </si>
  <si>
    <t>A helyi önkormányzatok törvényi előíráson alapuló befizetései</t>
  </si>
  <si>
    <t>Államháztartáson belüli megelőlegezések visszafizetése</t>
  </si>
  <si>
    <t>-főállású alpolgármester</t>
  </si>
  <si>
    <t>2020. évben várható bevételek</t>
  </si>
  <si>
    <t>Önrész 2020. évben</t>
  </si>
  <si>
    <t>Kiadások - 2020-ban esedékes</t>
  </si>
  <si>
    <t>Beruházás (bruttó érték)</t>
  </si>
  <si>
    <t>Államháztartáson belüli megelőlegezések</t>
  </si>
  <si>
    <t>Beruhzás összértéke</t>
  </si>
  <si>
    <t>2</t>
  </si>
  <si>
    <t>Régi szennyvíztisztító telep bontása</t>
  </si>
  <si>
    <t>Régi szennyvíztisztító telep talajcsere</t>
  </si>
  <si>
    <t xml:space="preserve">Vállalkozói park projket </t>
  </si>
  <si>
    <t>5</t>
  </si>
  <si>
    <t>Budakeszi HRSZ 7908 út építése - Ipoly utca</t>
  </si>
  <si>
    <t>8</t>
  </si>
  <si>
    <t>PM_Piac pályázat Budakeszi piac felújítása</t>
  </si>
  <si>
    <t>Budakeszi-Farkashegyi repülőtér kerékpárút fejlesztése</t>
  </si>
  <si>
    <t>Budakeszi temető ravatalozó épület előtető</t>
  </si>
  <si>
    <t>Budakeszi Polgármesteri Hivatal légtechnika</t>
  </si>
  <si>
    <t>14</t>
  </si>
  <si>
    <t>Budakeszi Polgármesteri Hivatal eszközbeszerzések</t>
  </si>
  <si>
    <t>1.53</t>
  </si>
  <si>
    <t>Elszámolásból adódó befizetési kötelzettségek</t>
  </si>
  <si>
    <t>2028.-2031.
tárgyévet követő 
7. évet követően</t>
  </si>
  <si>
    <t>2024-2031</t>
  </si>
  <si>
    <t>Egyéb nem intézményi juttatások</t>
  </si>
  <si>
    <t>074031
Védőnői szolgálat</t>
  </si>
  <si>
    <t>Államházt. belüli megelőleg visszafiz.</t>
  </si>
  <si>
    <t xml:space="preserve"> Iparűzési adóból 
 ( 600eFt alatti iparűzési adóalap alatt, eü szolgáltatók )</t>
  </si>
  <si>
    <t>Fejlesztési projektek kivitelezése</t>
  </si>
  <si>
    <t>Mezei Mária ház felújítása</t>
  </si>
  <si>
    <t>adatok Ft-ban</t>
  </si>
  <si>
    <t>BVV Kft. Új telephelyre költöztetése</t>
  </si>
  <si>
    <t>Kieső bevételek</t>
  </si>
  <si>
    <t>Gépjármű adó</t>
  </si>
  <si>
    <t>2020. év</t>
  </si>
  <si>
    <t>1-3 hónap tény</t>
  </si>
  <si>
    <t>Kétséges bevételek</t>
  </si>
  <si>
    <t>Ingatlan értékesítések</t>
  </si>
  <si>
    <t>Településrendezési szerz.</t>
  </si>
  <si>
    <t>EREDETI</t>
  </si>
  <si>
    <t>MÓDOSÍTOTT - TERV</t>
  </si>
  <si>
    <t>Megjegyzés</t>
  </si>
  <si>
    <t>Új orvosi rendelő építés</t>
  </si>
  <si>
    <t>HITEL</t>
  </si>
  <si>
    <t>Mivel a hitelszerződésben tárgyként az fog szerepelni, hogy az Önkorm. Által a költségvetési rendeletben meghat fejlesztések, így ez megvalósíthtó.</t>
  </si>
  <si>
    <t>Jövő évre át kellene tenni</t>
  </si>
  <si>
    <t>Átcsoportosítva orvosi rendelőre</t>
  </si>
  <si>
    <t xml:space="preserve">Fejlesztési célú hitel, kölcsönfelvétel államháztartáson kívülről </t>
  </si>
  <si>
    <t xml:space="preserve">Likviditási célú hitel, kölcsönfelvétel államháztartáson kívülről </t>
  </si>
  <si>
    <t>Fejlesztési célú hitel, kölcsön törlesztése államháztartáson kívülre</t>
  </si>
  <si>
    <t>Likviditási célú hitel, kölcsön törlesztése államháztartáson kívülre</t>
  </si>
  <si>
    <t>Eredeti felvett hitelösszeg</t>
  </si>
  <si>
    <t>OTP Bank Fejlesztési hitel II. - eng. 2020</t>
  </si>
  <si>
    <t>OTP Bank fejlesztési hitel - I. eng: 2016</t>
  </si>
  <si>
    <t>-ebből NEAKtól átvett támogatások B16</t>
  </si>
  <si>
    <t>2019. év teljesítés összesen: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</si>
  <si>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</si>
  <si>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</si>
  <si>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</si>
  <si>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</si>
  <si>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</si>
  <si>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</si>
  <si>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</si>
  <si>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</si>
  <si>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</si>
  <si>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</si>
  <si>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</si>
  <si>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</si>
  <si>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</si>
  <si>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</si>
  <si>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</si>
  <si>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</si>
  <si>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</si>
  <si>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</si>
  <si>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</si>
  <si>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</si>
  <si>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</si>
  <si>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</si>
  <si>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</si>
  <si>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Kimutataás 2020. évben vállalt következő évet érintő kötelezettségekről</t>
  </si>
  <si>
    <t>Makkosmária csapadékvíz elvezetési projekt megvalósítás</t>
  </si>
  <si>
    <t>OTP Bank fejlesztési hitelek</t>
  </si>
  <si>
    <t>2018, 2020</t>
  </si>
  <si>
    <t>Bursa Hungarica ösztöndíj</t>
  </si>
  <si>
    <t>PM Vállpark pályázat megvalósítás</t>
  </si>
  <si>
    <t>2020. évi teljesítés várható</t>
  </si>
  <si>
    <t>210/2020. (VII.08.) Kt. határozata az „Önkormányzati feladatellátást szolgáló fejlesztések támogatása” - utak, járdák felújítása alcélú - pályázaton való részvételről - önerő</t>
  </si>
  <si>
    <t>Kossuth köz vis maior pályázat - önerő</t>
  </si>
  <si>
    <t>K</t>
  </si>
  <si>
    <t>L</t>
  </si>
  <si>
    <t>M</t>
  </si>
  <si>
    <t>N</t>
  </si>
  <si>
    <t>Fennálló bevétel a következő években</t>
  </si>
  <si>
    <t>O=(K+…+N)</t>
  </si>
  <si>
    <t>A fejlesztés forrása Beruházási hitel</t>
  </si>
  <si>
    <t>7c</t>
  </si>
  <si>
    <t>PM_Csapadékvíz pályázat közbeszrzés szerinti I. ütem - önrész - fejl. Hitel -+Patak utca szükséges közmű kiváltás</t>
  </si>
  <si>
    <t>Új orvosi rendelő eszköz beszerzés</t>
  </si>
  <si>
    <t>Fejlesztési hitellel érintett bruházások</t>
  </si>
  <si>
    <t>Hitelek kölcsönök felvétele</t>
  </si>
  <si>
    <t>Finanszírozás</t>
  </si>
  <si>
    <t>FINANSZ. NÉLKÜL MINDÖSSZESEN:</t>
  </si>
  <si>
    <t>16. melléklet az önkormányzat  2020. évi költségvetéséről szóló 5/2020 (II.18.) rendeletéhez</t>
  </si>
  <si>
    <t>18. melléklet az önkormányzat  2020. évi költségvetéséről szóló  5/2020 (II.18.) rendeletéhez</t>
  </si>
  <si>
    <t>25. melléklet az önkormányzat 2020.  évi költségvetéséről szóló 5/2020 (II.18.) rendeletéhez</t>
  </si>
  <si>
    <t>16. sz. melléklet</t>
  </si>
  <si>
    <t>18. sz. melléklet</t>
  </si>
  <si>
    <t>24. sz. melléklet</t>
  </si>
  <si>
    <t>-ebből iparűzési adó (B351)</t>
  </si>
  <si>
    <t>-ebből építményadó (B34)</t>
  </si>
  <si>
    <t>-ebből telekadó (B34)</t>
  </si>
  <si>
    <t>1.54</t>
  </si>
  <si>
    <t>Egyéb működési célú támogatások</t>
  </si>
  <si>
    <t>Felújítás</t>
  </si>
  <si>
    <t>Beruházás</t>
  </si>
  <si>
    <t>Önkormányzat</t>
  </si>
  <si>
    <t>MÓDOSÍTOTT</t>
  </si>
  <si>
    <t>-ebből idegenforgalmi adó (B355)</t>
  </si>
  <si>
    <t>-ebből gépjárműadó (B354)</t>
  </si>
  <si>
    <t>-ebből egyéb közhatalmi bevételek (B36)</t>
  </si>
  <si>
    <t>ebből működési támogatás</t>
  </si>
  <si>
    <t>4.1</t>
  </si>
  <si>
    <t>4.2</t>
  </si>
  <si>
    <t>4.3</t>
  </si>
  <si>
    <t>4.4</t>
  </si>
  <si>
    <t>4.5</t>
  </si>
  <si>
    <t>4.6</t>
  </si>
  <si>
    <t>Cserkész Alapítvány</t>
  </si>
  <si>
    <t>Borostyán Idősklub</t>
  </si>
  <si>
    <t>Budakörnyéki Médiaszolgáltató</t>
  </si>
  <si>
    <t>Budakezsi Gyermekekért Alapítvány</t>
  </si>
  <si>
    <t>Önkéntes Tűzoltóság</t>
  </si>
  <si>
    <t>Református Emléktemplom</t>
  </si>
  <si>
    <t>Vadaspark</t>
  </si>
  <si>
    <t>BVV</t>
  </si>
  <si>
    <t>Polgárőr</t>
  </si>
  <si>
    <t>Dr. Bartos</t>
  </si>
  <si>
    <t>Dr. Nazim</t>
  </si>
  <si>
    <t>Vass M. Alapítvány</t>
  </si>
  <si>
    <t>Erkel</t>
  </si>
  <si>
    <t>Fenyőgyöngye Nyugdíjasklub</t>
  </si>
  <si>
    <t>Jobb Kor</t>
  </si>
  <si>
    <t>Magyar Jamboree Alapítv.</t>
  </si>
  <si>
    <t>Nagy Gáspár</t>
  </si>
  <si>
    <t>Prohászka Ottokár</t>
  </si>
  <si>
    <t>Segítő Kapcsolatok</t>
  </si>
  <si>
    <t>Viadal</t>
  </si>
  <si>
    <t>Wudimed</t>
  </si>
  <si>
    <t>-védőnők (2021.01.31-ig)</t>
  </si>
  <si>
    <t>2021. január 1-én költségvetési létszám 
(fő - 8 óra munkaidőre vetítve)</t>
  </si>
  <si>
    <t>2021. év 
kötelező feladat
módosított ei.
I.</t>
  </si>
  <si>
    <t>2021. év 
kötelező feladat
eredeti ei.</t>
  </si>
  <si>
    <t>2021. év 
kötelező feladat
módosított ei.
II.</t>
  </si>
  <si>
    <t>2021. év 
kötelező feladat
módosított ei.
III.</t>
  </si>
  <si>
    <t>2021. év 
önként vállalt feladat
eredeti ei.</t>
  </si>
  <si>
    <t>2021. év 
önként vállalt feladat
módosított ei.</t>
  </si>
  <si>
    <t>2021. év 
állami feladat
eredeti ei.</t>
  </si>
  <si>
    <t>2021. év 
állami feladat
módosított ei.</t>
  </si>
  <si>
    <t>2021. év összesen
eredeti ei.</t>
  </si>
  <si>
    <t>2021. év összesen
módosított ei.
I.</t>
  </si>
  <si>
    <t>2021. év összesen
módosított ei.
II.</t>
  </si>
  <si>
    <t>Budakeszi Egészségügyi Központ (2020.02.01-től)</t>
  </si>
  <si>
    <t>2021. év 
kötelező feladat
módosított ei.</t>
  </si>
  <si>
    <t>2021. év összesen
módosított ei.</t>
  </si>
  <si>
    <t>ebből KT határozat alapján tornacsarnok tám</t>
  </si>
  <si>
    <t>2021. évi szolidaritási hozzájárulásévi elszámolás különbözet</t>
  </si>
  <si>
    <t>2021. eredeti előirányzat</t>
  </si>
  <si>
    <t>2021. év összesen
módosított ei.
III.</t>
  </si>
  <si>
    <t>Eredeti előirányzat</t>
  </si>
  <si>
    <t>Kötelező</t>
  </si>
  <si>
    <t>Önként vállalt</t>
  </si>
  <si>
    <t>K4</t>
  </si>
  <si>
    <t>K42</t>
  </si>
  <si>
    <t>K48</t>
  </si>
  <si>
    <t>Egyszeri kifizetés vészhelyzetre való tekintettel</t>
  </si>
  <si>
    <t>Gyermekétkeztetéshez kapcsolódó település támogatás</t>
  </si>
  <si>
    <t>……….. Önkormányzat likviditási terve
2021. évre</t>
  </si>
  <si>
    <t>Forintban!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</si>
  <si>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</si>
  <si>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</si>
  <si>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</si>
  <si>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</si>
  <si>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</si>
  <si>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</si>
  <si>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</si>
  <si>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</si>
  <si>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</si>
  <si>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</si>
  <si>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</si>
  <si>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</si>
  <si>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</si>
  <si>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Nyitó pénzkészlet</t>
  </si>
  <si>
    <t>-----</t>
  </si>
  <si>
    <t>Önkormányzatok működési támogatásai</t>
  </si>
  <si>
    <t>Működési célú támogatások ÁH-on belül</t>
  </si>
  <si>
    <t>Felhalmozási célú támogatások ÁH-on belül</t>
  </si>
  <si>
    <t>Finanszírozási bevételek</t>
  </si>
  <si>
    <t>Bevételek összesen:</t>
  </si>
  <si>
    <t>Finanszírozási kiadások</t>
  </si>
  <si>
    <t>21.</t>
  </si>
  <si>
    <t>Kiadások összesen:</t>
  </si>
  <si>
    <t>22.</t>
  </si>
  <si>
    <t>Egyenleg (11-21)</t>
  </si>
  <si>
    <t>2020. év előzetes teljesítés összesen:</t>
  </si>
  <si>
    <t>2019. év  teljesítés összesen:</t>
  </si>
  <si>
    <t>Egyéb pénzbeli és természetbeni gyermekvédelmi támogatások kiadásai</t>
  </si>
  <si>
    <t>Egyéb, az önkormányzat rendeletében megállapított juttatás</t>
  </si>
  <si>
    <t>-ebből civil szervezetek támogatása</t>
  </si>
  <si>
    <t>Patak utca terület rendezés kiegészítés
(462/2019) - Önként</t>
  </si>
  <si>
    <t>- 8 fő korm. Hiv.</t>
  </si>
  <si>
    <t>Budakeszi Város Önkormányzatának
2021. évi hitel törlesztéssel kapcsolatos kötelezettségei</t>
  </si>
  <si>
    <t>Fejlesztési hitel</t>
  </si>
  <si>
    <t>Családi támogatások - 104051</t>
  </si>
  <si>
    <t>Egyéb nem intézményi ellátások - 107060</t>
  </si>
  <si>
    <t>Önkormányzat által saját hatáskörben (nem szociális és gyermekvédelmi előírások alapján) adott más ellátás kiadásai - utalvány</t>
  </si>
  <si>
    <r>
      <t xml:space="preserve">Lakhatáshoz kapcsolódó </t>
    </r>
    <r>
      <rPr>
        <b/>
        <sz val="8"/>
        <color rgb="FF000000"/>
        <rFont val="Times New Roman"/>
        <family val="1"/>
        <charset val="238"/>
      </rPr>
      <t>rendszeres</t>
    </r>
    <r>
      <rPr>
        <sz val="8"/>
        <color rgb="FF000000"/>
        <rFont val="Times New Roman"/>
        <family val="1"/>
        <charset val="238"/>
      </rPr>
      <t xml:space="preserve"> kiadások viseléséhez nyújtott települési tám.</t>
    </r>
  </si>
  <si>
    <t>Pénzb. rendk. tel. tám.- temetési hozzájárulás</t>
  </si>
  <si>
    <t>Pénzb. rendk. tel. tám.- tüzelőtámogatás</t>
  </si>
  <si>
    <t>Pénzbeli rendkívüli települési támogatás</t>
  </si>
  <si>
    <t>Természetbeni rendk. tel. tám. - élelmiszerutalvány</t>
  </si>
  <si>
    <r>
      <t xml:space="preserve">18. életévét betöltött tartósan beteg hozzátart. </t>
    </r>
    <r>
      <rPr>
        <b/>
        <sz val="8"/>
        <color rgb="FF000000"/>
        <rFont val="Times New Roman"/>
        <family val="1"/>
        <charset val="238"/>
      </rPr>
      <t>ápolását</t>
    </r>
    <r>
      <rPr>
        <sz val="8"/>
        <color rgb="FF000000"/>
        <rFont val="Times New Roman"/>
        <family val="1"/>
        <charset val="238"/>
      </rPr>
      <t>, gonodzását végző szem. részére telep. tám.</t>
    </r>
  </si>
  <si>
    <t>Kamatmentes kölcsön</t>
  </si>
  <si>
    <t>Átmeneti (krízis) segély</t>
  </si>
  <si>
    <t>Babaköszöntő csomag / utalvány</t>
  </si>
  <si>
    <t>Adósságkezelési rendszeres települési támogatás pénzb./termb.</t>
  </si>
  <si>
    <r>
      <t>Lakhatatlanná vált lakóingatlan esetén nyújtott</t>
    </r>
    <r>
      <rPr>
        <b/>
        <sz val="8"/>
        <color rgb="FF000000"/>
        <rFont val="Times New Roman"/>
        <family val="1"/>
        <charset val="238"/>
      </rPr>
      <t xml:space="preserve"> albérleti </t>
    </r>
    <r>
      <rPr>
        <sz val="8"/>
        <color rgb="FF000000"/>
        <rFont val="Times New Roman"/>
        <family val="1"/>
        <charset val="238"/>
      </rPr>
      <t>telep.tám.</t>
    </r>
  </si>
  <si>
    <r>
      <t xml:space="preserve">Lakhatási kiadásokhoz kapcsolódó </t>
    </r>
    <r>
      <rPr>
        <b/>
        <sz val="8"/>
        <color rgb="FF000000"/>
        <rFont val="Times New Roman"/>
        <family val="1"/>
        <charset val="238"/>
      </rPr>
      <t>hátralék</t>
    </r>
    <r>
      <rPr>
        <sz val="8"/>
        <color rgb="FF000000"/>
        <rFont val="Times New Roman"/>
        <family val="1"/>
        <charset val="238"/>
      </rPr>
      <t>ot felhalmozó szem.r. nyújtott települési tám.</t>
    </r>
  </si>
  <si>
    <t>Születési települési támogatás</t>
  </si>
  <si>
    <t>Pénzb. rendk. tel. tám.- gyógyszerkiadásokra</t>
  </si>
  <si>
    <t>Pénzb. rendk. tel. tám.- egyéb</t>
  </si>
  <si>
    <r>
      <t xml:space="preserve">Egyéb nem intézményi ellátások kiadásai - </t>
    </r>
    <r>
      <rPr>
        <b/>
        <sz val="8"/>
        <color theme="1"/>
        <rFont val="Times New Roman"/>
        <family val="1"/>
        <charset val="238"/>
      </rPr>
      <t>Rendkívüli települési</t>
    </r>
    <r>
      <rPr>
        <sz val="8"/>
        <color theme="1"/>
        <rFont val="Times New Roman"/>
        <family val="1"/>
        <charset val="238"/>
      </rPr>
      <t xml:space="preserve"> támogatás (betegség, haláleset, elemi kár, iskoláztatás, HH, HHH)</t>
    </r>
  </si>
  <si>
    <r>
      <t>Települési támogatás kiadásai</t>
    </r>
    <r>
      <rPr>
        <b/>
        <sz val="8"/>
        <color theme="1"/>
        <rFont val="Times New Roman"/>
        <family val="1"/>
        <charset val="238"/>
      </rPr>
      <t xml:space="preserve"> [Szoctv. 45. §]</t>
    </r>
  </si>
  <si>
    <t>K4 - Ellátottak pénzbeli juttatásai - COFOG számok</t>
  </si>
  <si>
    <r>
      <t xml:space="preserve">Köztemetés kiadásai </t>
    </r>
    <r>
      <rPr>
        <b/>
        <sz val="8"/>
        <color theme="1"/>
        <rFont val="Times New Roman"/>
        <family val="1"/>
        <charset val="238"/>
      </rPr>
      <t>[Szoctv. 48. §]</t>
    </r>
  </si>
  <si>
    <t>Sorsz.</t>
  </si>
  <si>
    <t>1.1.</t>
  </si>
  <si>
    <t>2.1.</t>
  </si>
  <si>
    <t>2.1.1.</t>
  </si>
  <si>
    <t>2.1.2.</t>
  </si>
  <si>
    <t>2.1.3.</t>
  </si>
  <si>
    <t>2.1.4.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</si>
  <si>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</si>
  <si>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</si>
  <si>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</si>
  <si>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</si>
  <si>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</si>
  <si>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</si>
  <si>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</si>
  <si>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</si>
  <si>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</si>
  <si>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2.3.</t>
  </si>
  <si>
    <t>2.4.</t>
  </si>
  <si>
    <t>2.4.1.</t>
  </si>
  <si>
    <t>2.4.2.</t>
  </si>
  <si>
    <t>2.4.3.</t>
  </si>
  <si>
    <t>2.4.4.</t>
  </si>
  <si>
    <t>2.4.5.</t>
  </si>
  <si>
    <t>2.5.</t>
  </si>
  <si>
    <t>Budakeszi Város Önkormányzat 2021. évre tervezett szociális ellátásainak részletezése</t>
  </si>
  <si>
    <t>Budakeszi Város Önkormányzat 
2021. évre tervezett szociális ellátásainak részletezése</t>
  </si>
  <si>
    <t>Rovat
szám
/ Főkönyvi szám</t>
  </si>
  <si>
    <t>2021. február 01-től a BEK-ben</t>
  </si>
  <si>
    <t>Pitypang Sport Óvoda rehab. foglalkoztatott</t>
  </si>
  <si>
    <t>Szivárvány Óvoda rehab. foglalkoztatott</t>
  </si>
  <si>
    <t>+0,5 fő környezetvédelmi ellenőr tevékenységre</t>
  </si>
  <si>
    <t>Fő utca 100 - Mester ingatlan kisajátítás - per</t>
  </si>
  <si>
    <t>Vállalkozói park szemétszállítás</t>
  </si>
  <si>
    <t>Képviselői laptopok 7 db</t>
  </si>
  <si>
    <t>Kossuth köz vis-maior pályázat</t>
  </si>
  <si>
    <t>Egyéb ingatlan vásárlás, kisajátítások</t>
  </si>
  <si>
    <t>Makkosm. csapadékv. elvez. tervez.és kivitelezése (nettó)</t>
  </si>
  <si>
    <t>Vállalkozói park kivitelezés (nettó)</t>
  </si>
  <si>
    <t xml:space="preserve">Budakeszi Piac felújítása (nettó) </t>
  </si>
  <si>
    <t>Budakeszi Város Önkormányzatának 
2021. évi működési célú pénzeszköz átadása államháztartáson belülre</t>
  </si>
  <si>
    <t>Budakeszi Város Önkormányzatának 
2021. évi működési célú pénzeszköz átadása államháztartáson kívülre,
civil és egyéb szervezetek részére</t>
  </si>
  <si>
    <t>Szakrendelés bővítések miatti orvosok és asszisztensek, nem tartalmazza a 7 fő védőnő 2021.02.01-től történő áthelyezését</t>
  </si>
  <si>
    <t>Változás előző évhez képest
/ Megjegyzés</t>
  </si>
  <si>
    <t>Budakeszi Város Önkormányzat
és költségvetési szervei engedélyezett létszámkerete
2021-ben</t>
  </si>
  <si>
    <t xml:space="preserve">Budakeszi Város Önkormányzatának 2021. évi közvetett támogatásai </t>
  </si>
  <si>
    <t>Budakeszi Város Önkormányzat összesített 2021. évi működési  bevételei és kiadásai</t>
  </si>
  <si>
    <t>Budakeszi Város Önkormányzat összesített 2021. évi felhalmozási  bevételei és kiadásai</t>
  </si>
  <si>
    <t>Megnevezés
BEVÉTELEK</t>
  </si>
  <si>
    <t>Megnevezés
KIADÁSOK</t>
  </si>
  <si>
    <t>ÁH-n belüli megelőlegezések</t>
  </si>
  <si>
    <t xml:space="preserve">2021.
tárgyév
</t>
  </si>
  <si>
    <t>2022.
tárgyévet követő 
1. év</t>
  </si>
  <si>
    <t>2023.
tárgyévet követő 
2. év</t>
  </si>
  <si>
    <t>2024.
tárgyévet követő 
3. év</t>
  </si>
  <si>
    <t>2025.
tárgyévet követő 
4. év</t>
  </si>
  <si>
    <t>2026.
tárgyévet követő 
5. év</t>
  </si>
  <si>
    <t>2027.
tárgyévet követő 
6. év</t>
  </si>
  <si>
    <t>2019-2023-ig minden évben</t>
  </si>
  <si>
    <t>-950 BÖTE, -950 Polgárőr és katasztrófavédelmi egyesület, -100 Rékassy MaMeg</t>
  </si>
  <si>
    <t>13. melléklet az önkormányzat
2021. évi költségvetéséről szóló
6/2021 (II.25.) rendeletéhez</t>
  </si>
  <si>
    <t>14. sz. melléklet az önkormányzat
 2021. évi költségvetéséről szóló
6/2021 (II.25.) rendeletéhez</t>
  </si>
  <si>
    <t>15. sz. melléklet az önkormányzat
 2021. évi költségvetéséről szóló
6/2021 (II.25.) rendeletéhez</t>
  </si>
  <si>
    <t>16. melléklet az önkormányzat
2021. évi költségvetéséről szóló
6/2021 (II.25.) rendeletéhez</t>
  </si>
  <si>
    <t>17. sz. melléklet az önkormányzat
2021. évi költségvetéséről szóló
6/2021 (II.25.) rendeletéhez</t>
  </si>
  <si>
    <t>18. melléklet az önkormányzat 
2021. évi költségvetéséről szóló
6/2021 (II.25.) rendeletéhez</t>
  </si>
  <si>
    <t>19. sz. melléklet az önkormányzat 
2021. évi költségvetéséről  szóló
6/2021 (II.25.) rendeletéhez</t>
  </si>
  <si>
    <t>20. melléklet az önkormányzat
2021. évi költségvetéséről szóló
6/2021 (II.25.) rendeletéhez</t>
  </si>
  <si>
    <t>21. melléklet az önkormányzat
2021. évi költségvetéséről szóló
6/2021 (II.25.) rendeletéhez</t>
  </si>
  <si>
    <t>22. melléklet az önkormányzat
2021. évi költségvetéséről szóló
6/2021 (II.25.) rendeletéhez</t>
  </si>
  <si>
    <t>23. sz. melléklet az önkormányza
2021.  évi költségvetéséről szóló
6/2021 (II.25.) rendeletéhez</t>
  </si>
  <si>
    <t>NSJG gázfogadó</t>
  </si>
  <si>
    <t>Áfa</t>
  </si>
  <si>
    <t>53/2021. (III.8.)</t>
  </si>
  <si>
    <t>feladatellátás fejlesztések</t>
  </si>
  <si>
    <t>56/2021. (III.25.)</t>
  </si>
  <si>
    <t>Vállpark hulladék</t>
  </si>
  <si>
    <t>64/2021. (III. 25.)</t>
  </si>
  <si>
    <t>bicikliút közbesz</t>
  </si>
  <si>
    <t>78/2021. (III. 31.)</t>
  </si>
  <si>
    <t>piacon Telekom hálózat kiváltása</t>
  </si>
  <si>
    <t xml:space="preserve">102/2021. (IV.29.) </t>
  </si>
  <si>
    <t>Makkosi útfelújítás tervezése</t>
  </si>
  <si>
    <t>103/2021. (IV.29.)</t>
  </si>
  <si>
    <t>108/2021. (V.27.)</t>
  </si>
  <si>
    <t>csapvíz pótmunka III</t>
  </si>
  <si>
    <t>109/2021. (V.27.)</t>
  </si>
  <si>
    <t>Lidl beruh önrész</t>
  </si>
  <si>
    <t>115/2021. (V.27.)</t>
  </si>
  <si>
    <t>járda</t>
  </si>
  <si>
    <t>116/2021. (V.27.)</t>
  </si>
  <si>
    <t>önszerveződő</t>
  </si>
  <si>
    <t>132/2021. (V.27.)</t>
  </si>
  <si>
    <t>vállpark műszaki ell.</t>
  </si>
  <si>
    <t>Darányi utcaterv</t>
  </si>
  <si>
    <t>gyalogosvédelmi rdsz-ek</t>
  </si>
  <si>
    <t>Napsugár utca szegély</t>
  </si>
  <si>
    <t>2021. módosított előirányzat I.</t>
  </si>
  <si>
    <t>2021. módosított előirányzat II.</t>
  </si>
  <si>
    <t>NG Alapítvány</t>
  </si>
  <si>
    <t>2021. év 
önként vállalt feladat
módosított ei. I.</t>
  </si>
  <si>
    <t>2021. év 
önként vállalt feladat
módosított ei. II.</t>
  </si>
  <si>
    <t>2021. év 
önként vállalt feladat
módosított ei. III.</t>
  </si>
  <si>
    <t>2021. évi fejlesztések, beruházások</t>
  </si>
  <si>
    <t>24. sz. melléklet az önkormányzat
2021. évi költségvetéséről szóló
6/2021 (II.25.) rendeletéhez</t>
  </si>
  <si>
    <t>sor-szám</t>
  </si>
  <si>
    <t>Budakeszi Város Önkormányzat 2021. évi tartalékok részletezése</t>
  </si>
  <si>
    <t>Csapvíz, LIDL pótmunka fedezet</t>
  </si>
  <si>
    <t>Átcsoportosítás K3-ra</t>
  </si>
  <si>
    <t>Maradvány csökkentés</t>
  </si>
  <si>
    <t>Pótmunka fedezetek</t>
  </si>
  <si>
    <t>Kerékpárút-Farkashegyi reptér (nettó)</t>
  </si>
  <si>
    <t>0103/156 ingatlan vásárlás</t>
  </si>
  <si>
    <t>12. melléklet az önkormányzat
 2021. évi  költségvetéséről szóló 
6/2021 (II.25.) rendeletéhez</t>
  </si>
  <si>
    <t>Budakeszi Polgármesteri Hivatal költségvetése
2021. évi  bevételei kiadásai kiemelt előirányzatonként</t>
  </si>
  <si>
    <t>4. melléklet az önkormányzat
 2021. évi  költségvetéséről szóló
6/2021 (II.25.) rendeletéhez</t>
  </si>
  <si>
    <t>Budakeszi Bölcsöde költségvetése
2021. évi  bevételei kiadásai kiemelt előirányzatonként</t>
  </si>
  <si>
    <t>5.  melléklet az önkormányzat
 2021. évi  költségvetéséről szóló
6/2021 (II.25.) rendeletéhez</t>
  </si>
  <si>
    <t xml:space="preserve">Budakeszi Mosolyvár Bölcsöde költségvetése
2021. évi  bevételei kiadásai kiemelt előirányzatonként </t>
  </si>
  <si>
    <t>6.  melléklet az önkormányzat
 2021. évi  költségvetéséről szóló
6/2021 (II.25.) rendeletéhez</t>
  </si>
  <si>
    <t>7. melléklet az önkormányzat
 2021. évi  költségvetéséről szóló
 6/2021 (II.25.) rendeletéhez</t>
  </si>
  <si>
    <t xml:space="preserve">Pitypang Sport Óvoda költségvetése
2021. évi bevételei kiadásai kiemelt előirányzatonként </t>
  </si>
  <si>
    <t>Szivárvány Óvoda költségvetése
2021. évi  bevételei kiadásai kiemelt előirányzatonként</t>
  </si>
  <si>
    <t>8.  melléklet az önkormányzat
 2021. évi  költségvetéséről szóló
6/2021 (II.25.) rendeletéhez</t>
  </si>
  <si>
    <t>Budakeszi Város Önkormányzata által fenntertott intézmények összesítő táblázata
2021. évi bevételi és kiadási előirányzatok</t>
  </si>
  <si>
    <t>3.  melléklet az önkormányzat
 2021. évi  költségvetéséről szóló
 6/2021 (II.25.) rendeletéhez</t>
  </si>
  <si>
    <t xml:space="preserve">Erkel Ferenc Művelődési Központ költségvetése
2021. évi  bevételei kiadásai kiemelt előirányzatonként </t>
  </si>
  <si>
    <t>9. melléklet az önkormányzat
 2021. évi költségvetéséről szóló
6/2021 (II.25.) rendeletéhez</t>
  </si>
  <si>
    <t xml:space="preserve">Nagy Gáspár Városi Könyvtár költségvetése
2021. évi  bevételei kiadásai kiemelt előirányzatonként </t>
  </si>
  <si>
    <t>10.  melléklet az önkormányzat
 2021. évi  költségvetéséről szóló
6/2021 (II.25.) rendeletéhez</t>
  </si>
  <si>
    <t xml:space="preserve">Budakeszi Egészségügyi Központ költségvetése
2021. évi  bevételei kiadásai kiemelt előirányzatonként </t>
  </si>
  <si>
    <t>11. melléklet az önkormányzat
 2021. évi  költségvetéséről szóló
6/2021 (II.25.) rendeletéhez</t>
  </si>
  <si>
    <t>Budakeszi Város Önkormányzatának költségvetése
2021. évi  bevételei kiadásai kiemelt előirányzatonként</t>
  </si>
  <si>
    <t>2. melléklet az önkormányzat
 2021. évi  költségvetéséről szóló
 6/2021 (II.25.) rendeletéhez</t>
  </si>
  <si>
    <t>Budakeszi Város Önkormányzatának és intézményeinek költségvetése
2021. évi összevont bevételei kiadásai kiemelt előirányzatonként</t>
  </si>
  <si>
    <t>1. melléklet az önkormányzat
 2021. évi  költségvetéséről szóló
6/2021 (II.25.) rendeletéhez</t>
  </si>
  <si>
    <t>BÖTE</t>
  </si>
  <si>
    <t>Polgárőr és Katasztrófavéd. Egy.</t>
  </si>
  <si>
    <t>MaMegmentelek Al.</t>
  </si>
  <si>
    <t>Munkácsy útpálya</t>
  </si>
  <si>
    <t>2020. év teljesítés összesen:</t>
  </si>
  <si>
    <t>2020. év 
kötelező feladat
módosított ei. I.</t>
  </si>
  <si>
    <t>2021. év 
kötelező feladat
módosított ei. II.</t>
  </si>
  <si>
    <t>2020. év 
önként vállalt feladat
módosított ei. I.</t>
  </si>
  <si>
    <t>2020. év összesen
módosított ei. I.</t>
  </si>
  <si>
    <t>2021. év összesen
módosított ei. II.</t>
  </si>
  <si>
    <t>Tájékoztató adatok az Áht. 24. § (4) bekezdése alapján
Budakeszi Város Önkormányzatának 2020. évi kiadási előirányzat felhasználási ütemterve</t>
  </si>
  <si>
    <t>Tájékoztató adatok az Áht. 24. § (4) bekezdése alapján
Budakeszi Város Önkormányzatának 2020. évi bevételi előirányzat felhasználási ütemterve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</si>
</sst>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0&quot;.&quot;"/>
    <numFmt numFmtId="168" formatCode="_-* #,##0.0\ _F_t_-;\-* #,##0.0\ _F_t_-;_-* &quot;-&quot;??\ _F_t_-;_-@_-"/>
    <numFmt numFmtId="169" formatCode="#,###"/>
    <numFmt numFmtId="170" formatCode="#,##0_ ;\-#,##0\ "/>
  </numFmts>
  <fonts count="1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b/>
      <sz val="8"/>
      <color rgb="FF7030A0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rgb="FF7030A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3" tint="0.3999755851924192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7" tint="-0.249977111117893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0"/>
      <color theme="6" tint="-0.249977111117893"/>
      <name val="Times New Roman"/>
      <family val="1"/>
      <charset val="238"/>
    </font>
    <font>
      <sz val="8"/>
      <color theme="6" tint="-0.249977111117893"/>
      <name val="Times New Roman"/>
      <family val="1"/>
      <charset val="238"/>
    </font>
    <font>
      <b/>
      <sz val="9"/>
      <color theme="6" tint="-0.249977111117893"/>
      <name val="Times New Roman"/>
      <family val="1"/>
      <charset val="238"/>
    </font>
    <font>
      <b/>
      <sz val="8"/>
      <color theme="6" tint="-0.249977111117893"/>
      <name val="Times New Roman"/>
      <family val="1"/>
      <charset val="238"/>
    </font>
    <font>
      <sz val="11"/>
      <color theme="6" tint="-0.249977111117893"/>
      <name val="Times New Roman"/>
      <family val="1"/>
      <charset val="238"/>
    </font>
    <font>
      <b/>
      <sz val="11"/>
      <color theme="6" tint="-0.24997711111789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theme="3" tint="0.3999755851924192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3" fillId="0" borderId="0"/>
    <xf numFmtId="0" fontId="80" fillId="0" borderId="0"/>
  </cellStyleXfs>
  <cellXfs count="120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0" xfId="0" applyFont="1"/>
    <xf numFmtId="3" fontId="0" fillId="0" borderId="0" xfId="0" applyNumberFormat="1"/>
    <xf numFmtId="0" fontId="9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3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3" fontId="9" fillId="0" borderId="0" xfId="0" applyNumberFormat="1" applyFont="1" applyFill="1" applyBorder="1"/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49" fontId="9" fillId="0" borderId="1" xfId="0" applyNumberFormat="1" applyFont="1" applyBorder="1"/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49" fontId="9" fillId="0" borderId="0" xfId="0" applyNumberFormat="1" applyFont="1" applyBorder="1" applyAlignment="1">
      <alignment horizontal="center"/>
    </xf>
    <xf numFmtId="3" fontId="17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0" xfId="0" applyFont="1" applyAlignment="1">
      <alignment horizontal="center" wrapText="1"/>
    </xf>
    <xf numFmtId="0" fontId="0" fillId="0" borderId="5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3" fontId="11" fillId="0" borderId="1" xfId="0" applyNumberFormat="1" applyFont="1" applyBorder="1"/>
    <xf numFmtId="0" fontId="9" fillId="0" borderId="1" xfId="0" applyFont="1" applyBorder="1"/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0" fontId="0" fillId="0" borderId="1" xfId="0" applyFont="1" applyBorder="1"/>
    <xf numFmtId="0" fontId="11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/>
    <xf numFmtId="0" fontId="15" fillId="0" borderId="1" xfId="0" applyFont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4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wrapText="1"/>
    </xf>
    <xf numFmtId="3" fontId="9" fillId="0" borderId="3" xfId="0" applyNumberFormat="1" applyFont="1" applyBorder="1"/>
    <xf numFmtId="3" fontId="16" fillId="0" borderId="9" xfId="0" applyNumberFormat="1" applyFont="1" applyBorder="1"/>
    <xf numFmtId="3" fontId="12" fillId="0" borderId="9" xfId="0" applyNumberFormat="1" applyFon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11" fillId="0" borderId="10" xfId="0" applyNumberFormat="1" applyFont="1" applyBorder="1"/>
    <xf numFmtId="3" fontId="9" fillId="0" borderId="9" xfId="0" applyNumberFormat="1" applyFont="1" applyBorder="1"/>
    <xf numFmtId="3" fontId="11" fillId="0" borderId="13" xfId="0" applyNumberFormat="1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3" fontId="9" fillId="0" borderId="15" xfId="0" applyNumberFormat="1" applyFont="1" applyBorder="1"/>
    <xf numFmtId="49" fontId="9" fillId="0" borderId="9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16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wrapText="1"/>
    </xf>
    <xf numFmtId="0" fontId="0" fillId="0" borderId="17" xfId="0" applyBorder="1"/>
    <xf numFmtId="49" fontId="11" fillId="0" borderId="13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wrapText="1"/>
    </xf>
    <xf numFmtId="3" fontId="16" fillId="0" borderId="19" xfId="0" applyNumberFormat="1" applyFont="1" applyBorder="1"/>
    <xf numFmtId="3" fontId="9" fillId="0" borderId="7" xfId="0" applyNumberFormat="1" applyFont="1" applyBorder="1"/>
    <xf numFmtId="3" fontId="9" fillId="0" borderId="21" xfId="0" applyNumberFormat="1" applyFont="1" applyBorder="1"/>
    <xf numFmtId="3" fontId="11" fillId="0" borderId="20" xfId="0" applyNumberFormat="1" applyFont="1" applyBorder="1"/>
    <xf numFmtId="3" fontId="9" fillId="0" borderId="19" xfId="0" applyNumberFormat="1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49" fontId="9" fillId="0" borderId="20" xfId="0" applyNumberFormat="1" applyFont="1" applyBorder="1" applyAlignment="1">
      <alignment horizontal="left" vertical="center" wrapText="1"/>
    </xf>
    <xf numFmtId="3" fontId="16" fillId="0" borderId="19" xfId="0" applyNumberFormat="1" applyFont="1" applyBorder="1" applyAlignment="1"/>
    <xf numFmtId="3" fontId="12" fillId="0" borderId="19" xfId="0" applyNumberFormat="1" applyFont="1" applyBorder="1"/>
    <xf numFmtId="3" fontId="16" fillId="0" borderId="7" xfId="0" applyNumberFormat="1" applyFont="1" applyBorder="1" applyAlignment="1"/>
    <xf numFmtId="0" fontId="9" fillId="0" borderId="0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6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0" xfId="0" applyFont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5" fillId="0" borderId="1" xfId="0" applyFont="1" applyBorder="1"/>
    <xf numFmtId="16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26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" xfId="6" applyFont="1" applyBorder="1" applyAlignment="1" applyProtection="1">
      <alignment horizontal="right" vertical="center" wrapText="1" indent="1"/>
      <protection locked="0" hidden="1"/>
    </xf>
    <xf numFmtId="168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26" fillId="0" borderId="1" xfId="0" applyFont="1" applyBorder="1" applyAlignment="1" applyProtection="1">
      <alignment horizontal="justify" vertical="center" wrapText="1"/>
      <protection locked="0" hidden="1"/>
    </xf>
    <xf numFmtId="0" fontId="26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165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4" xfId="0" applyNumberFormat="1" applyFont="1" applyBorder="1"/>
    <xf numFmtId="0" fontId="11" fillId="0" borderId="31" xfId="0" applyFont="1" applyBorder="1" applyAlignment="1">
      <alignment horizontal="center" vertical="center" wrapText="1"/>
    </xf>
    <xf numFmtId="3" fontId="9" fillId="0" borderId="32" xfId="0" applyNumberFormat="1" applyFont="1" applyBorder="1"/>
    <xf numFmtId="3" fontId="11" fillId="0" borderId="33" xfId="0" applyNumberFormat="1" applyFont="1" applyBorder="1"/>
    <xf numFmtId="3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 indent="1"/>
    </xf>
    <xf numFmtId="0" fontId="27" fillId="0" borderId="0" xfId="0" applyFont="1"/>
    <xf numFmtId="3" fontId="17" fillId="0" borderId="14" xfId="0" applyNumberFormat="1" applyFont="1" applyBorder="1" applyAlignment="1"/>
    <xf numFmtId="3" fontId="12" fillId="0" borderId="21" xfId="0" applyNumberFormat="1" applyFont="1" applyBorder="1"/>
    <xf numFmtId="3" fontId="12" fillId="0" borderId="3" xfId="0" applyNumberFormat="1" applyFont="1" applyBorder="1"/>
    <xf numFmtId="3" fontId="11" fillId="0" borderId="3" xfId="0" applyNumberFormat="1" applyFont="1" applyBorder="1"/>
    <xf numFmtId="3" fontId="12" fillId="0" borderId="15" xfId="0" applyNumberFormat="1" applyFont="1" applyBorder="1"/>
    <xf numFmtId="3" fontId="16" fillId="0" borderId="32" xfId="0" applyNumberFormat="1" applyFont="1" applyBorder="1" applyAlignment="1"/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9" fillId="0" borderId="30" xfId="0" applyNumberFormat="1" applyFont="1" applyBorder="1" applyAlignment="1">
      <alignment vertical="center"/>
    </xf>
    <xf numFmtId="3" fontId="9" fillId="0" borderId="14" xfId="0" applyNumberFormat="1" applyFont="1" applyBorder="1"/>
    <xf numFmtId="3" fontId="9" fillId="0" borderId="4" xfId="0" applyNumberFormat="1" applyFont="1" applyBorder="1"/>
    <xf numFmtId="3" fontId="12" fillId="0" borderId="4" xfId="0" applyNumberFormat="1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0" fillId="0" borderId="0" xfId="6" applyFont="1"/>
    <xf numFmtId="164" fontId="0" fillId="0" borderId="0" xfId="6" applyFont="1" applyAlignment="1">
      <alignment horizontal="left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left" indent="1"/>
    </xf>
    <xf numFmtId="0" fontId="15" fillId="0" borderId="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0" fillId="0" borderId="0" xfId="0" applyFont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69" fontId="29" fillId="0" borderId="35" xfId="0" applyNumberFormat="1" applyFont="1" applyBorder="1" applyAlignment="1">
      <alignment horizontal="centerContinuous" vertical="center"/>
    </xf>
    <xf numFmtId="169" fontId="29" fillId="0" borderId="36" xfId="0" applyNumberFormat="1" applyFont="1" applyBorder="1" applyAlignment="1">
      <alignment horizontal="centerContinuous" vertical="center"/>
    </xf>
    <xf numFmtId="169" fontId="29" fillId="0" borderId="37" xfId="0" applyNumberFormat="1" applyFont="1" applyBorder="1" applyAlignment="1">
      <alignment horizontal="centerContinuous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9" fontId="29" fillId="0" borderId="42" xfId="0" applyNumberFormat="1" applyFont="1" applyBorder="1" applyAlignment="1">
      <alignment horizontal="center" vertical="center" wrapText="1"/>
    </xf>
    <xf numFmtId="169" fontId="29" fillId="0" borderId="24" xfId="0" applyNumberFormat="1" applyFont="1" applyBorder="1" applyAlignment="1">
      <alignment horizontal="center" vertical="center" wrapText="1"/>
    </xf>
    <xf numFmtId="169" fontId="29" fillId="0" borderId="23" xfId="0" applyNumberFormat="1" applyFont="1" applyBorder="1" applyAlignment="1">
      <alignment horizontal="center" vertical="center" wrapText="1"/>
    </xf>
    <xf numFmtId="169" fontId="29" fillId="0" borderId="32" xfId="0" applyNumberFormat="1" applyFont="1" applyBorder="1" applyAlignment="1">
      <alignment horizontal="right" vertical="center" wrapText="1" indent="1"/>
    </xf>
    <xf numFmtId="169" fontId="29" fillId="0" borderId="44" xfId="0" applyNumberFormat="1" applyFont="1" applyBorder="1" applyAlignment="1">
      <alignment horizontal="left" vertical="center" wrapText="1"/>
    </xf>
    <xf numFmtId="1" fontId="29" fillId="5" borderId="44" xfId="0" applyNumberFormat="1" applyFont="1" applyFill="1" applyBorder="1" applyAlignment="1">
      <alignment horizontal="center" vertical="center" wrapText="1"/>
    </xf>
    <xf numFmtId="169" fontId="29" fillId="0" borderId="44" xfId="0" applyNumberFormat="1" applyFont="1" applyBorder="1" applyAlignment="1">
      <alignment vertical="center" wrapText="1"/>
    </xf>
    <xf numFmtId="169" fontId="29" fillId="0" borderId="35" xfId="0" applyNumberFormat="1" applyFont="1" applyBorder="1" applyAlignment="1">
      <alignment vertical="center" wrapText="1"/>
    </xf>
    <xf numFmtId="169" fontId="29" fillId="0" borderId="9" xfId="0" applyNumberFormat="1" applyFont="1" applyBorder="1" applyAlignment="1">
      <alignment horizontal="right" vertical="center" wrapText="1" indent="1"/>
    </xf>
    <xf numFmtId="169" fontId="30" fillId="0" borderId="1" xfId="0" applyNumberFormat="1" applyFont="1" applyBorder="1" applyAlignment="1" applyProtection="1">
      <alignment horizontal="left" vertical="center" wrapText="1"/>
      <protection locked="0"/>
    </xf>
    <xf numFmtId="1" fontId="30" fillId="0" borderId="1" xfId="0" applyNumberFormat="1" applyFont="1" applyBorder="1" applyAlignment="1" applyProtection="1">
      <alignment horizontal="center" vertical="center" wrapText="1"/>
      <protection locked="0"/>
    </xf>
    <xf numFmtId="169" fontId="30" fillId="0" borderId="1" xfId="0" applyNumberFormat="1" applyFont="1" applyBorder="1" applyAlignment="1" applyProtection="1">
      <alignment vertical="center" wrapText="1"/>
      <protection locked="0"/>
    </xf>
    <xf numFmtId="169" fontId="30" fillId="0" borderId="4" xfId="0" applyNumberFormat="1" applyFont="1" applyBorder="1" applyAlignment="1" applyProtection="1">
      <alignment vertical="center" wrapText="1"/>
      <protection locked="0"/>
    </xf>
    <xf numFmtId="169" fontId="29" fillId="0" borderId="1" xfId="0" applyNumberFormat="1" applyFont="1" applyBorder="1" applyAlignment="1">
      <alignment horizontal="left" vertical="center" wrapText="1"/>
    </xf>
    <xf numFmtId="1" fontId="29" fillId="5" borderId="1" xfId="0" applyNumberFormat="1" applyFont="1" applyFill="1" applyBorder="1" applyAlignment="1">
      <alignment horizontal="center" vertical="center" wrapText="1"/>
    </xf>
    <xf numFmtId="169" fontId="29" fillId="0" borderId="1" xfId="0" applyNumberFormat="1" applyFont="1" applyBorder="1" applyAlignment="1">
      <alignment vertical="center" wrapText="1"/>
    </xf>
    <xf numFmtId="169" fontId="29" fillId="0" borderId="4" xfId="0" applyNumberFormat="1" applyFont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169" fontId="29" fillId="0" borderId="30" xfId="0" applyNumberFormat="1" applyFont="1" applyBorder="1" applyAlignment="1">
      <alignment horizontal="left" vertical="center" wrapText="1"/>
    </xf>
    <xf numFmtId="1" fontId="29" fillId="5" borderId="6" xfId="0" applyNumberFormat="1" applyFont="1" applyFill="1" applyBorder="1" applyAlignment="1">
      <alignment horizontal="center" vertical="center" wrapText="1"/>
    </xf>
    <xf numFmtId="169" fontId="29" fillId="0" borderId="30" xfId="0" applyNumberFormat="1" applyFont="1" applyBorder="1" applyAlignment="1">
      <alignment vertical="center" wrapText="1"/>
    </xf>
    <xf numFmtId="169" fontId="29" fillId="0" borderId="8" xfId="0" applyNumberFormat="1" applyFont="1" applyBorder="1" applyAlignment="1">
      <alignment vertical="center" wrapText="1"/>
    </xf>
    <xf numFmtId="169" fontId="30" fillId="0" borderId="47" xfId="0" applyNumberFormat="1" applyFont="1" applyBorder="1" applyAlignment="1">
      <alignment vertical="center" wrapText="1"/>
    </xf>
    <xf numFmtId="169" fontId="29" fillId="0" borderId="22" xfId="0" applyNumberFormat="1" applyFont="1" applyBorder="1" applyAlignment="1">
      <alignment horizontal="right" vertical="center" wrapText="1" indent="1"/>
    </xf>
    <xf numFmtId="169" fontId="29" fillId="0" borderId="24" xfId="0" applyNumberFormat="1" applyFont="1" applyBorder="1" applyAlignment="1">
      <alignment horizontal="left" vertical="center" wrapText="1"/>
    </xf>
    <xf numFmtId="1" fontId="30" fillId="5" borderId="23" xfId="0" applyNumberFormat="1" applyFont="1" applyFill="1" applyBorder="1" applyAlignment="1">
      <alignment vertical="center" wrapText="1"/>
    </xf>
    <xf numFmtId="169" fontId="29" fillId="0" borderId="24" xfId="0" applyNumberFormat="1" applyFont="1" applyBorder="1" applyAlignment="1">
      <alignment vertical="center" wrapText="1"/>
    </xf>
    <xf numFmtId="169" fontId="29" fillId="0" borderId="23" xfId="0" applyNumberFormat="1" applyFont="1" applyBorder="1" applyAlignment="1">
      <alignment vertical="center" wrapText="1"/>
    </xf>
    <xf numFmtId="169" fontId="29" fillId="0" borderId="49" xfId="0" applyNumberFormat="1" applyFont="1" applyBorder="1" applyAlignment="1">
      <alignment horizontal="right" vertical="center" wrapText="1" indent="1"/>
    </xf>
    <xf numFmtId="1" fontId="30" fillId="0" borderId="6" xfId="0" applyNumberFormat="1" applyFont="1" applyBorder="1" applyAlignment="1" applyProtection="1">
      <alignment horizontal="center" vertical="center" wrapText="1"/>
      <protection locked="0"/>
    </xf>
    <xf numFmtId="169" fontId="30" fillId="0" borderId="6" xfId="0" applyNumberFormat="1" applyFont="1" applyBorder="1" applyAlignment="1" applyProtection="1">
      <alignment vertical="center" wrapText="1"/>
      <protection locked="0"/>
    </xf>
    <xf numFmtId="169" fontId="30" fillId="0" borderId="50" xfId="0" applyNumberFormat="1" applyFont="1" applyBorder="1" applyAlignment="1" applyProtection="1">
      <alignment vertical="center" wrapText="1"/>
      <protection locked="0"/>
    </xf>
    <xf numFmtId="169" fontId="30" fillId="0" borderId="7" xfId="0" applyNumberFormat="1" applyFont="1" applyBorder="1" applyAlignment="1" applyProtection="1">
      <alignment vertical="center" wrapText="1"/>
      <protection locked="0"/>
    </xf>
    <xf numFmtId="169" fontId="30" fillId="0" borderId="14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justify" vertical="center" wrapText="1"/>
    </xf>
    <xf numFmtId="169" fontId="30" fillId="0" borderId="1" xfId="0" applyNumberFormat="1" applyFont="1" applyBorder="1" applyAlignment="1">
      <alignment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69" fontId="29" fillId="0" borderId="48" xfId="0" applyNumberFormat="1" applyFont="1" applyBorder="1" applyAlignment="1">
      <alignment horizontal="center" vertical="center" wrapText="1"/>
    </xf>
    <xf numFmtId="169" fontId="29" fillId="0" borderId="24" xfId="0" applyNumberFormat="1" applyFont="1" applyFill="1" applyBorder="1" applyAlignment="1">
      <alignment horizontal="center" vertical="center" wrapText="1"/>
    </xf>
    <xf numFmtId="169" fontId="29" fillId="0" borderId="47" xfId="0" applyNumberFormat="1" applyFont="1" applyBorder="1" applyAlignment="1">
      <alignment vertical="center" wrapText="1"/>
    </xf>
    <xf numFmtId="169" fontId="29" fillId="0" borderId="48" xfId="0" applyNumberFormat="1" applyFont="1" applyFill="1" applyBorder="1" applyAlignment="1">
      <alignment vertical="center" wrapText="1"/>
    </xf>
    <xf numFmtId="169" fontId="30" fillId="0" borderId="3" xfId="0" applyNumberFormat="1" applyFont="1" applyBorder="1" applyAlignment="1">
      <alignment vertical="center" wrapText="1"/>
    </xf>
    <xf numFmtId="169" fontId="29" fillId="0" borderId="3" xfId="0" applyNumberFormat="1" applyFont="1" applyBorder="1" applyAlignment="1">
      <alignment vertical="center" wrapText="1"/>
    </xf>
    <xf numFmtId="169" fontId="29" fillId="0" borderId="45" xfId="0" applyNumberFormat="1" applyFont="1" applyFill="1" applyBorder="1" applyAlignment="1">
      <alignment vertical="center" wrapText="1"/>
    </xf>
    <xf numFmtId="169" fontId="30" fillId="0" borderId="46" xfId="0" applyNumberFormat="1" applyFont="1" applyFill="1" applyBorder="1" applyAlignment="1">
      <alignment vertical="center" wrapText="1"/>
    </xf>
    <xf numFmtId="169" fontId="29" fillId="0" borderId="46" xfId="0" applyNumberFormat="1" applyFont="1" applyFill="1" applyBorder="1" applyAlignment="1">
      <alignment vertical="center" wrapText="1"/>
    </xf>
    <xf numFmtId="169" fontId="30" fillId="0" borderId="51" xfId="0" applyNumberFormat="1" applyFont="1" applyFill="1" applyBorder="1" applyAlignment="1">
      <alignment vertical="center" wrapText="1"/>
    </xf>
    <xf numFmtId="169" fontId="30" fillId="0" borderId="52" xfId="0" applyNumberFormat="1" applyFont="1" applyFill="1" applyBorder="1" applyAlignment="1">
      <alignment vertical="center" wrapText="1"/>
    </xf>
    <xf numFmtId="169" fontId="30" fillId="0" borderId="21" xfId="0" applyNumberFormat="1" applyFont="1" applyBorder="1" applyAlignment="1">
      <alignment vertical="center" wrapText="1"/>
    </xf>
    <xf numFmtId="169" fontId="30" fillId="0" borderId="7" xfId="0" applyNumberFormat="1" applyFont="1" applyBorder="1" applyAlignment="1">
      <alignment vertical="center" wrapText="1"/>
    </xf>
    <xf numFmtId="169" fontId="30" fillId="0" borderId="54" xfId="0" applyNumberFormat="1" applyFont="1" applyBorder="1" applyAlignment="1">
      <alignment vertical="center" wrapText="1"/>
    </xf>
    <xf numFmtId="169" fontId="29" fillId="0" borderId="2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28" fillId="0" borderId="0" xfId="0" applyFont="1"/>
    <xf numFmtId="0" fontId="2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Border="1"/>
    <xf numFmtId="3" fontId="2" fillId="0" borderId="0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32" fillId="0" borderId="0" xfId="0" applyNumberFormat="1" applyFont="1" applyBorder="1"/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/>
    <xf numFmtId="0" fontId="7" fillId="0" borderId="0" xfId="0" applyFont="1" applyAlignment="1"/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3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33" fillId="0" borderId="0" xfId="0" applyFont="1"/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/>
    <xf numFmtId="3" fontId="33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32" fillId="0" borderId="0" xfId="0" applyFont="1"/>
    <xf numFmtId="0" fontId="43" fillId="0" borderId="0" xfId="0" applyFont="1"/>
    <xf numFmtId="0" fontId="21" fillId="0" borderId="1" xfId="0" applyFont="1" applyBorder="1" applyAlignment="1">
      <alignment horizontal="left" vertical="center"/>
    </xf>
    <xf numFmtId="0" fontId="5" fillId="0" borderId="0" xfId="0" applyFont="1"/>
    <xf numFmtId="49" fontId="34" fillId="0" borderId="1" xfId="0" applyNumberFormat="1" applyFont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49" fontId="34" fillId="4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49" fontId="34" fillId="6" borderId="6" xfId="0" applyNumberFormat="1" applyFont="1" applyFill="1" applyBorder="1" applyAlignment="1">
      <alignment horizontal="left" vertical="center" wrapText="1"/>
    </xf>
    <xf numFmtId="0" fontId="0" fillId="0" borderId="2" xfId="0" applyBorder="1"/>
    <xf numFmtId="3" fontId="4" fillId="0" borderId="0" xfId="0" applyNumberFormat="1" applyFont="1"/>
    <xf numFmtId="3" fontId="44" fillId="7" borderId="0" xfId="0" applyNumberFormat="1" applyFont="1" applyFill="1"/>
    <xf numFmtId="3" fontId="44" fillId="0" borderId="0" xfId="0" applyNumberFormat="1" applyFont="1"/>
    <xf numFmtId="3" fontId="0" fillId="0" borderId="0" xfId="6" applyNumberFormat="1" applyFont="1" applyBorder="1"/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9" fontId="34" fillId="0" borderId="5" xfId="0" applyNumberFormat="1" applyFont="1" applyBorder="1" applyAlignment="1">
      <alignment horizontal="left" vertical="center" wrapText="1"/>
    </xf>
    <xf numFmtId="3" fontId="33" fillId="0" borderId="0" xfId="6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3" fontId="46" fillId="0" borderId="1" xfId="0" applyNumberFormat="1" applyFont="1" applyBorder="1" applyAlignment="1">
      <alignment horizontal="right" vertical="center" wrapText="1"/>
    </xf>
    <xf numFmtId="3" fontId="47" fillId="0" borderId="1" xfId="0" applyNumberFormat="1" applyFont="1" applyBorder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right" vertical="center" wrapText="1"/>
    </xf>
    <xf numFmtId="49" fontId="34" fillId="0" borderId="2" xfId="0" applyNumberFormat="1" applyFont="1" applyBorder="1" applyAlignment="1">
      <alignment horizontal="left" vertical="center" wrapText="1"/>
    </xf>
    <xf numFmtId="3" fontId="47" fillId="0" borderId="1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49" fontId="34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49" fontId="34" fillId="4" borderId="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34" fillId="6" borderId="6" xfId="0" applyNumberFormat="1" applyFont="1" applyFill="1" applyBorder="1" applyAlignment="1">
      <alignment horizontal="center" vertical="center"/>
    </xf>
    <xf numFmtId="3" fontId="33" fillId="0" borderId="6" xfId="0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4" fillId="0" borderId="6" xfId="0" applyNumberFormat="1" applyFont="1" applyFill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3" fontId="33" fillId="0" borderId="5" xfId="0" applyNumberFormat="1" applyFont="1" applyFill="1" applyBorder="1" applyAlignment="1">
      <alignment vertical="center"/>
    </xf>
    <xf numFmtId="3" fontId="33" fillId="0" borderId="5" xfId="0" applyNumberFormat="1" applyFont="1" applyBorder="1" applyAlignment="1">
      <alignment vertical="center"/>
    </xf>
    <xf numFmtId="3" fontId="34" fillId="0" borderId="5" xfId="0" applyNumberFormat="1" applyFont="1" applyFill="1" applyBorder="1" applyAlignment="1">
      <alignment vertical="center"/>
    </xf>
    <xf numFmtId="3" fontId="34" fillId="0" borderId="5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vertical="center" wrapText="1"/>
    </xf>
    <xf numFmtId="3" fontId="32" fillId="0" borderId="5" xfId="0" applyNumberFormat="1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49" fontId="32" fillId="0" borderId="2" xfId="0" applyNumberFormat="1" applyFont="1" applyFill="1" applyBorder="1" applyAlignment="1">
      <alignment vertical="center"/>
    </xf>
    <xf numFmtId="49" fontId="32" fillId="0" borderId="2" xfId="0" applyNumberFormat="1" applyFont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3" fontId="32" fillId="0" borderId="2" xfId="0" applyNumberFormat="1" applyFont="1" applyBorder="1" applyAlignment="1">
      <alignment vertical="center"/>
    </xf>
    <xf numFmtId="3" fontId="32" fillId="0" borderId="2" xfId="0" applyNumberFormat="1" applyFont="1" applyBorder="1" applyAlignment="1">
      <alignment horizontal="right" vertical="center"/>
    </xf>
    <xf numFmtId="49" fontId="34" fillId="0" borderId="2" xfId="0" applyNumberFormat="1" applyFont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8" fillId="0" borderId="1" xfId="0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vertical="center"/>
    </xf>
    <xf numFmtId="3" fontId="38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7" applyNumberFormat="1" applyFont="1" applyBorder="1" applyAlignment="1">
      <alignment vertical="center"/>
    </xf>
    <xf numFmtId="0" fontId="33" fillId="0" borderId="1" xfId="7" applyNumberFormat="1" applyFont="1" applyFill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49" fontId="38" fillId="4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3" fontId="33" fillId="0" borderId="0" xfId="6" applyNumberFormat="1" applyFont="1" applyBorder="1" applyAlignment="1">
      <alignment vertical="center"/>
    </xf>
    <xf numFmtId="3" fontId="32" fillId="0" borderId="0" xfId="6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Alignment="1">
      <alignment vertical="center"/>
    </xf>
    <xf numFmtId="49" fontId="32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49" fontId="34" fillId="0" borderId="0" xfId="0" applyNumberFormat="1" applyFont="1" applyBorder="1" applyAlignment="1">
      <alignment vertical="center" wrapText="1"/>
    </xf>
    <xf numFmtId="49" fontId="32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3" fillId="0" borderId="0" xfId="10" applyProtection="1">
      <protection locked="0"/>
    </xf>
    <xf numFmtId="0" fontId="49" fillId="0" borderId="0" xfId="0" applyFont="1" applyAlignment="1" applyProtection="1">
      <alignment horizontal="right"/>
      <protection locked="0"/>
    </xf>
    <xf numFmtId="0" fontId="50" fillId="0" borderId="28" xfId="10" applyFont="1" applyBorder="1" applyAlignment="1" applyProtection="1">
      <alignment horizontal="center" vertical="center" wrapText="1"/>
      <protection locked="0"/>
    </xf>
    <xf numFmtId="0" fontId="50" fillId="0" borderId="29" xfId="10" applyFont="1" applyBorder="1" applyAlignment="1" applyProtection="1">
      <alignment horizontal="center" vertical="center"/>
      <protection locked="0"/>
    </xf>
    <xf numFmtId="0" fontId="50" fillId="0" borderId="27" xfId="10" applyFont="1" applyBorder="1" applyAlignment="1" applyProtection="1">
      <alignment horizontal="center" vertical="center"/>
      <protection locked="0"/>
    </xf>
    <xf numFmtId="0" fontId="23" fillId="0" borderId="0" xfId="10"/>
    <xf numFmtId="0" fontId="51" fillId="0" borderId="22" xfId="10" applyFont="1" applyBorder="1" applyAlignment="1">
      <alignment horizontal="left" vertical="center" indent="1"/>
    </xf>
    <xf numFmtId="0" fontId="23" fillId="0" borderId="0" xfId="10" applyAlignment="1">
      <alignment vertical="center"/>
    </xf>
    <xf numFmtId="0" fontId="51" fillId="0" borderId="57" xfId="10" applyFont="1" applyBorder="1" applyAlignment="1">
      <alignment horizontal="left" vertical="center" indent="1"/>
    </xf>
    <xf numFmtId="0" fontId="51" fillId="0" borderId="30" xfId="10" applyFont="1" applyBorder="1" applyAlignment="1">
      <alignment horizontal="left" vertical="center" wrapText="1" indent="1"/>
    </xf>
    <xf numFmtId="169" fontId="53" fillId="0" borderId="30" xfId="10" applyNumberFormat="1" applyFont="1" applyBorder="1" applyAlignment="1" applyProtection="1">
      <alignment vertical="center"/>
      <protection locked="0"/>
    </xf>
    <xf numFmtId="169" fontId="53" fillId="0" borderId="30" xfId="10" applyNumberFormat="1" applyFont="1" applyBorder="1" applyAlignment="1">
      <alignment vertical="center"/>
    </xf>
    <xf numFmtId="169" fontId="51" fillId="0" borderId="58" xfId="10" quotePrefix="1" applyNumberFormat="1" applyFont="1" applyBorder="1" applyAlignment="1">
      <alignment horizontal="center" vertical="center"/>
    </xf>
    <xf numFmtId="0" fontId="51" fillId="0" borderId="9" xfId="10" applyFont="1" applyBorder="1" applyAlignment="1">
      <alignment horizontal="left" vertical="center" indent="1"/>
    </xf>
    <xf numFmtId="0" fontId="51" fillId="0" borderId="1" xfId="10" applyFont="1" applyBorder="1" applyAlignment="1">
      <alignment horizontal="left" vertical="center" wrapText="1" indent="1"/>
    </xf>
    <xf numFmtId="169" fontId="53" fillId="0" borderId="1" xfId="10" applyNumberFormat="1" applyFont="1" applyBorder="1" applyAlignment="1" applyProtection="1">
      <alignment vertical="center"/>
      <protection locked="0"/>
    </xf>
    <xf numFmtId="169" fontId="51" fillId="0" borderId="10" xfId="10" applyNumberFormat="1" applyFont="1" applyBorder="1" applyAlignment="1">
      <alignment vertical="center"/>
    </xf>
    <xf numFmtId="0" fontId="23" fillId="0" borderId="0" xfId="10" applyAlignment="1" applyProtection="1">
      <alignment vertical="center"/>
      <protection locked="0"/>
    </xf>
    <xf numFmtId="0" fontId="51" fillId="0" borderId="7" xfId="10" applyFont="1" applyBorder="1" applyAlignment="1">
      <alignment horizontal="left" vertical="center" wrapText="1" indent="1"/>
    </xf>
    <xf numFmtId="169" fontId="53" fillId="0" borderId="7" xfId="10" applyNumberFormat="1" applyFont="1" applyBorder="1" applyAlignment="1" applyProtection="1">
      <alignment vertical="center"/>
      <protection locked="0"/>
    </xf>
    <xf numFmtId="0" fontId="51" fillId="0" borderId="1" xfId="10" applyFont="1" applyBorder="1" applyAlignment="1">
      <alignment horizontal="left" vertical="center" indent="1"/>
    </xf>
    <xf numFmtId="0" fontId="54" fillId="0" borderId="24" xfId="10" applyFont="1" applyBorder="1" applyAlignment="1">
      <alignment horizontal="left" vertical="center" indent="1"/>
    </xf>
    <xf numFmtId="169" fontId="55" fillId="0" borderId="24" xfId="10" applyNumberFormat="1" applyFont="1" applyBorder="1" applyAlignment="1">
      <alignment vertical="center"/>
    </xf>
    <xf numFmtId="169" fontId="56" fillId="0" borderId="18" xfId="10" quotePrefix="1" applyNumberFormat="1" applyFont="1" applyBorder="1" applyAlignment="1">
      <alignment horizontal="right" vertical="center"/>
    </xf>
    <xf numFmtId="0" fontId="51" fillId="0" borderId="19" xfId="10" applyFont="1" applyBorder="1" applyAlignment="1">
      <alignment horizontal="left" vertical="center" indent="1"/>
    </xf>
    <xf numFmtId="0" fontId="51" fillId="0" borderId="7" xfId="10" applyFont="1" applyBorder="1" applyAlignment="1">
      <alignment horizontal="left" vertical="center" indent="1"/>
    </xf>
    <xf numFmtId="169" fontId="51" fillId="0" borderId="20" xfId="10" applyNumberFormat="1" applyFont="1" applyBorder="1" applyAlignment="1">
      <alignment vertical="center"/>
    </xf>
    <xf numFmtId="0" fontId="56" fillId="0" borderId="22" xfId="10" applyFont="1" applyBorder="1" applyAlignment="1">
      <alignment horizontal="left" vertical="center" indent="1"/>
    </xf>
    <xf numFmtId="169" fontId="56" fillId="0" borderId="18" xfId="10" applyNumberFormat="1" applyFont="1" applyBorder="1" applyAlignment="1">
      <alignment vertical="center"/>
    </xf>
    <xf numFmtId="0" fontId="54" fillId="0" borderId="24" xfId="10" applyFont="1" applyBorder="1" applyAlignment="1">
      <alignment horizontal="left" indent="1"/>
    </xf>
    <xf numFmtId="169" fontId="55" fillId="0" borderId="24" xfId="10" applyNumberFormat="1" applyFont="1" applyBorder="1"/>
    <xf numFmtId="169" fontId="56" fillId="0" borderId="18" xfId="10" quotePrefix="1" applyNumberFormat="1" applyFont="1" applyBorder="1" applyAlignment="1">
      <alignment horizontal="center"/>
    </xf>
    <xf numFmtId="0" fontId="57" fillId="0" borderId="0" xfId="10" applyFont="1"/>
    <xf numFmtId="0" fontId="58" fillId="0" borderId="0" xfId="10" applyFont="1" applyProtection="1">
      <protection locked="0"/>
    </xf>
    <xf numFmtId="0" fontId="48" fillId="0" borderId="0" xfId="10" applyFont="1" applyProtection="1">
      <protection locked="0"/>
    </xf>
    <xf numFmtId="0" fontId="39" fillId="0" borderId="0" xfId="0" applyFont="1" applyAlignment="1">
      <alignment wrapText="1"/>
    </xf>
    <xf numFmtId="0" fontId="39" fillId="0" borderId="1" xfId="0" applyFont="1" applyBorder="1" applyAlignment="1"/>
    <xf numFmtId="3" fontId="39" fillId="0" borderId="1" xfId="0" applyNumberFormat="1" applyFont="1" applyBorder="1"/>
    <xf numFmtId="0" fontId="59" fillId="0" borderId="0" xfId="0" applyFont="1"/>
    <xf numFmtId="0" fontId="60" fillId="0" borderId="0" xfId="0" applyFont="1" applyFill="1" applyAlignment="1">
      <alignment vertical="top" wrapText="1"/>
    </xf>
    <xf numFmtId="0" fontId="59" fillId="0" borderId="0" xfId="0" applyFont="1" applyAlignment="1"/>
    <xf numFmtId="0" fontId="60" fillId="0" borderId="0" xfId="0" applyFont="1" applyAlignment="1"/>
    <xf numFmtId="0" fontId="60" fillId="0" borderId="0" xfId="0" applyFont="1" applyBorder="1" applyAlignment="1">
      <alignment horizontal="right"/>
    </xf>
    <xf numFmtId="0" fontId="39" fillId="0" borderId="1" xfId="0" applyFont="1" applyBorder="1" applyAlignment="1">
      <alignment horizontal="right"/>
    </xf>
    <xf numFmtId="3" fontId="39" fillId="0" borderId="1" xfId="0" applyNumberFormat="1" applyFont="1" applyBorder="1" applyAlignment="1"/>
    <xf numFmtId="0" fontId="60" fillId="0" borderId="1" xfId="0" applyFont="1" applyBorder="1"/>
    <xf numFmtId="49" fontId="39" fillId="0" borderId="1" xfId="0" applyNumberFormat="1" applyFont="1" applyBorder="1" applyAlignment="1"/>
    <xf numFmtId="0" fontId="60" fillId="0" borderId="1" xfId="0" applyFont="1" applyBorder="1" applyAlignment="1">
      <alignment horizontal="left"/>
    </xf>
    <xf numFmtId="49" fontId="60" fillId="0" borderId="1" xfId="0" applyNumberFormat="1" applyFont="1" applyBorder="1" applyAlignment="1"/>
    <xf numFmtId="3" fontId="60" fillId="0" borderId="1" xfId="0" applyNumberFormat="1" applyFont="1" applyBorder="1"/>
    <xf numFmtId="3" fontId="60" fillId="0" borderId="1" xfId="0" applyNumberFormat="1" applyFont="1" applyBorder="1" applyAlignment="1">
      <alignment horizontal="right"/>
    </xf>
    <xf numFmtId="0" fontId="59" fillId="0" borderId="1" xfId="0" applyFont="1" applyBorder="1" applyAlignment="1">
      <alignment horizontal="left"/>
    </xf>
    <xf numFmtId="0" fontId="59" fillId="0" borderId="1" xfId="0" applyFont="1" applyBorder="1"/>
    <xf numFmtId="3" fontId="60" fillId="0" borderId="0" xfId="0" applyNumberFormat="1" applyFont="1" applyBorder="1" applyAlignment="1"/>
    <xf numFmtId="0" fontId="60" fillId="0" borderId="0" xfId="0" applyFont="1" applyBorder="1"/>
    <xf numFmtId="0" fontId="60" fillId="0" borderId="0" xfId="0" applyFont="1" applyBorder="1" applyAlignment="1"/>
    <xf numFmtId="0" fontId="59" fillId="0" borderId="0" xfId="0" applyFont="1" applyBorder="1"/>
    <xf numFmtId="0" fontId="5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/>
    <xf numFmtId="3" fontId="39" fillId="0" borderId="0" xfId="0" applyNumberFormat="1" applyFont="1" applyBorder="1"/>
    <xf numFmtId="0" fontId="39" fillId="0" borderId="0" xfId="0" applyFont="1" applyFill="1" applyBorder="1"/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60" fillId="0" borderId="1" xfId="0" applyFont="1" applyBorder="1" applyAlignment="1"/>
    <xf numFmtId="49" fontId="60" fillId="0" borderId="1" xfId="0" applyNumberFormat="1" applyFont="1" applyBorder="1" applyAlignment="1">
      <alignment wrapText="1"/>
    </xf>
    <xf numFmtId="3" fontId="39" fillId="0" borderId="1" xfId="0" applyNumberFormat="1" applyFont="1" applyBorder="1" applyAlignment="1">
      <alignment horizontal="right"/>
    </xf>
    <xf numFmtId="0" fontId="59" fillId="0" borderId="1" xfId="0" applyFont="1" applyBorder="1" applyAlignment="1"/>
    <xf numFmtId="49" fontId="60" fillId="0" borderId="1" xfId="0" applyNumberFormat="1" applyFont="1" applyBorder="1" applyAlignment="1">
      <alignment horizontal="left"/>
    </xf>
    <xf numFmtId="0" fontId="11" fillId="8" borderId="1" xfId="0" applyFont="1" applyFill="1" applyBorder="1" applyAlignment="1">
      <alignment horizontal="left" vertical="center" wrapText="1"/>
    </xf>
    <xf numFmtId="3" fontId="11" fillId="8" borderId="1" xfId="0" applyNumberFormat="1" applyFont="1" applyFill="1" applyBorder="1" applyAlignment="1">
      <alignment horizontal="right" vertical="center"/>
    </xf>
    <xf numFmtId="3" fontId="11" fillId="8" borderId="1" xfId="0" applyNumberFormat="1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/>
    </xf>
    <xf numFmtId="3" fontId="24" fillId="8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right" vertical="center"/>
    </xf>
    <xf numFmtId="2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/>
    <xf numFmtId="165" fontId="34" fillId="0" borderId="1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right"/>
    </xf>
    <xf numFmtId="165" fontId="33" fillId="0" borderId="1" xfId="0" applyNumberFormat="1" applyFont="1" applyBorder="1" applyAlignment="1">
      <alignment horizontal="center"/>
    </xf>
    <xf numFmtId="165" fontId="33" fillId="0" borderId="1" xfId="0" applyNumberFormat="1" applyFont="1" applyBorder="1" applyAlignment="1">
      <alignment horizontal="right"/>
    </xf>
    <xf numFmtId="0" fontId="61" fillId="0" borderId="1" xfId="0" quotePrefix="1" applyFont="1" applyBorder="1"/>
    <xf numFmtId="0" fontId="34" fillId="0" borderId="1" xfId="0" applyFont="1" applyBorder="1" applyAlignment="1">
      <alignment horizontal="center"/>
    </xf>
    <xf numFmtId="3" fontId="34" fillId="0" borderId="1" xfId="0" quotePrefix="1" applyNumberFormat="1" applyFont="1" applyBorder="1" applyAlignment="1">
      <alignment horizontal="left"/>
    </xf>
    <xf numFmtId="0" fontId="33" fillId="0" borderId="1" xfId="0" applyFont="1" applyBorder="1"/>
    <xf numFmtId="0" fontId="62" fillId="0" borderId="1" xfId="0" applyFont="1" applyBorder="1"/>
    <xf numFmtId="165" fontId="34" fillId="0" borderId="30" xfId="0" applyNumberFormat="1" applyFont="1" applyFill="1" applyBorder="1" applyAlignment="1">
      <alignment horizontal="center"/>
    </xf>
    <xf numFmtId="0" fontId="34" fillId="0" borderId="1" xfId="0" applyFont="1" applyFill="1" applyBorder="1"/>
    <xf numFmtId="165" fontId="34" fillId="0" borderId="1" xfId="0" applyNumberFormat="1" applyFont="1" applyFill="1" applyBorder="1"/>
    <xf numFmtId="0" fontId="32" fillId="0" borderId="1" xfId="0" applyFont="1" applyBorder="1"/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/>
    </xf>
    <xf numFmtId="2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horizontal="left"/>
    </xf>
    <xf numFmtId="0" fontId="33" fillId="0" borderId="0" xfId="0" applyFont="1" applyBorder="1" applyAlignment="1"/>
    <xf numFmtId="0" fontId="3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0" xfId="0" applyFont="1" applyBorder="1"/>
    <xf numFmtId="49" fontId="34" fillId="0" borderId="3" xfId="0" applyNumberFormat="1" applyFont="1" applyBorder="1" applyAlignment="1">
      <alignment horizontal="center"/>
    </xf>
    <xf numFmtId="3" fontId="34" fillId="0" borderId="1" xfId="0" applyNumberFormat="1" applyFont="1" applyBorder="1" applyAlignment="1">
      <alignment horizontal="right"/>
    </xf>
    <xf numFmtId="49" fontId="33" fillId="0" borderId="3" xfId="0" applyNumberFormat="1" applyFont="1" applyBorder="1" applyAlignment="1">
      <alignment horizontal="center"/>
    </xf>
    <xf numFmtId="0" fontId="33" fillId="0" borderId="1" xfId="0" applyFont="1" applyBorder="1" applyAlignment="1">
      <alignment wrapText="1"/>
    </xf>
    <xf numFmtId="49" fontId="33" fillId="0" borderId="0" xfId="0" applyNumberFormat="1" applyFont="1" applyBorder="1" applyAlignment="1">
      <alignment horizontal="center"/>
    </xf>
    <xf numFmtId="0" fontId="32" fillId="0" borderId="0" xfId="0" applyFont="1" applyBorder="1"/>
    <xf numFmtId="0" fontId="65" fillId="0" borderId="0" xfId="0" applyFont="1" applyBorder="1" applyAlignment="1">
      <alignment horizontal="left"/>
    </xf>
    <xf numFmtId="3" fontId="64" fillId="0" borderId="1" xfId="0" applyNumberFormat="1" applyFont="1" applyBorder="1" applyAlignment="1">
      <alignment vertical="center"/>
    </xf>
    <xf numFmtId="3" fontId="33" fillId="0" borderId="0" xfId="0" applyNumberFormat="1" applyFont="1"/>
    <xf numFmtId="0" fontId="32" fillId="10" borderId="1" xfId="0" applyFont="1" applyFill="1" applyBorder="1" applyAlignment="1">
      <alignment wrapText="1"/>
    </xf>
    <xf numFmtId="3" fontId="64" fillId="10" borderId="1" xfId="0" applyNumberFormat="1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3" fontId="34" fillId="11" borderId="1" xfId="0" applyNumberFormat="1" applyFont="1" applyFill="1" applyBorder="1" applyAlignment="1">
      <alignment horizontal="right" vertical="center"/>
    </xf>
    <xf numFmtId="3" fontId="33" fillId="10" borderId="1" xfId="0" applyNumberFormat="1" applyFont="1" applyFill="1" applyBorder="1" applyAlignment="1">
      <alignment vertical="center"/>
    </xf>
    <xf numFmtId="0" fontId="32" fillId="10" borderId="1" xfId="0" applyFont="1" applyFill="1" applyBorder="1" applyAlignment="1">
      <alignment horizontal="left" vertical="center"/>
    </xf>
    <xf numFmtId="0" fontId="32" fillId="10" borderId="1" xfId="0" applyFont="1" applyFill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left"/>
    </xf>
    <xf numFmtId="0" fontId="63" fillId="11" borderId="1" xfId="0" applyFont="1" applyFill="1" applyBorder="1" applyAlignment="1">
      <alignment vertical="center"/>
    </xf>
    <xf numFmtId="3" fontId="63" fillId="11" borderId="1" xfId="0" applyNumberFormat="1" applyFont="1" applyFill="1" applyBorder="1" applyAlignment="1">
      <alignment vertical="center"/>
    </xf>
    <xf numFmtId="0" fontId="63" fillId="11" borderId="7" xfId="0" applyFont="1" applyFill="1" applyBorder="1" applyAlignment="1">
      <alignment vertical="center"/>
    </xf>
    <xf numFmtId="49" fontId="32" fillId="10" borderId="1" xfId="0" applyNumberFormat="1" applyFont="1" applyFill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47" fillId="10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right"/>
    </xf>
    <xf numFmtId="49" fontId="38" fillId="11" borderId="1" xfId="0" applyNumberFormat="1" applyFont="1" applyFill="1" applyBorder="1" applyAlignment="1">
      <alignment horizontal="left"/>
    </xf>
    <xf numFmtId="0" fontId="38" fillId="11" borderId="1" xfId="0" applyFont="1" applyFill="1" applyBorder="1" applyAlignment="1">
      <alignment horizontal="left"/>
    </xf>
    <xf numFmtId="3" fontId="46" fillId="11" borderId="1" xfId="0" applyNumberFormat="1" applyFont="1" applyFill="1" applyBorder="1" applyAlignment="1">
      <alignment horizontal="left" vertical="center"/>
    </xf>
    <xf numFmtId="0" fontId="46" fillId="11" borderId="0" xfId="0" applyFont="1" applyFill="1"/>
    <xf numFmtId="49" fontId="38" fillId="11" borderId="1" xfId="0" applyNumberFormat="1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quotePrefix="1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33" fillId="0" borderId="1" xfId="0" applyNumberFormat="1" applyFont="1" applyFill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 vertical="center"/>
    </xf>
    <xf numFmtId="0" fontId="38" fillId="0" borderId="7" xfId="0" applyFont="1" applyBorder="1"/>
    <xf numFmtId="49" fontId="34" fillId="6" borderId="1" xfId="0" applyNumberFormat="1" applyFont="1" applyFill="1" applyBorder="1" applyAlignment="1">
      <alignment horizontal="center" vertical="center"/>
    </xf>
    <xf numFmtId="49" fontId="34" fillId="6" borderId="1" xfId="0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 wrapText="1"/>
    </xf>
    <xf numFmtId="0" fontId="47" fillId="0" borderId="0" xfId="0" applyFont="1" applyAlignment="1">
      <alignment vertical="center" wrapText="1"/>
    </xf>
    <xf numFmtId="0" fontId="67" fillId="0" borderId="0" xfId="0" applyFont="1"/>
    <xf numFmtId="0" fontId="47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47" fillId="0" borderId="0" xfId="0" applyFont="1" applyAlignment="1">
      <alignment horizontal="right"/>
    </xf>
    <xf numFmtId="0" fontId="47" fillId="0" borderId="0" xfId="0" applyFont="1"/>
    <xf numFmtId="0" fontId="46" fillId="0" borderId="1" xfId="0" applyFont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49" fontId="46" fillId="0" borderId="1" xfId="0" applyNumberFormat="1" applyFont="1" applyBorder="1" applyAlignment="1">
      <alignment horizontal="center"/>
    </xf>
    <xf numFmtId="49" fontId="46" fillId="0" borderId="1" xfId="0" applyNumberFormat="1" applyFont="1" applyBorder="1" applyAlignment="1">
      <alignment horizontal="left" wrapText="1"/>
    </xf>
    <xf numFmtId="3" fontId="46" fillId="0" borderId="1" xfId="0" applyNumberFormat="1" applyFont="1" applyBorder="1"/>
    <xf numFmtId="3" fontId="46" fillId="0" borderId="1" xfId="0" applyNumberFormat="1" applyFont="1" applyFill="1" applyBorder="1"/>
    <xf numFmtId="0" fontId="70" fillId="0" borderId="0" xfId="0" applyFont="1"/>
    <xf numFmtId="49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left" wrapText="1"/>
    </xf>
    <xf numFmtId="3" fontId="47" fillId="0" borderId="1" xfId="0" applyNumberFormat="1" applyFont="1" applyFill="1" applyBorder="1"/>
    <xf numFmtId="49" fontId="46" fillId="0" borderId="1" xfId="0" applyNumberFormat="1" applyFont="1" applyFill="1" applyBorder="1" applyAlignment="1">
      <alignment horizontal="left" wrapText="1"/>
    </xf>
    <xf numFmtId="49" fontId="46" fillId="4" borderId="1" xfId="0" applyNumberFormat="1" applyFont="1" applyFill="1" applyBorder="1" applyAlignment="1">
      <alignment horizontal="center"/>
    </xf>
    <xf numFmtId="49" fontId="46" fillId="4" borderId="1" xfId="0" applyNumberFormat="1" applyFont="1" applyFill="1" applyBorder="1" applyAlignment="1">
      <alignment horizontal="left" wrapText="1"/>
    </xf>
    <xf numFmtId="3" fontId="46" fillId="4" borderId="1" xfId="0" applyNumberFormat="1" applyFont="1" applyFill="1" applyBorder="1"/>
    <xf numFmtId="49" fontId="47" fillId="0" borderId="1" xfId="0" applyNumberFormat="1" applyFont="1" applyBorder="1" applyAlignment="1">
      <alignment horizontal="left" wrapText="1"/>
    </xf>
    <xf numFmtId="3" fontId="47" fillId="0" borderId="1" xfId="0" applyNumberFormat="1" applyFont="1" applyBorder="1"/>
    <xf numFmtId="0" fontId="67" fillId="0" borderId="1" xfId="0" applyFont="1" applyBorder="1"/>
    <xf numFmtId="49" fontId="46" fillId="6" borderId="1" xfId="0" applyNumberFormat="1" applyFont="1" applyFill="1" applyBorder="1" applyAlignment="1">
      <alignment horizontal="center"/>
    </xf>
    <xf numFmtId="49" fontId="46" fillId="6" borderId="1" xfId="0" applyNumberFormat="1" applyFont="1" applyFill="1" applyBorder="1" applyAlignment="1">
      <alignment horizontal="left" wrapText="1"/>
    </xf>
    <xf numFmtId="3" fontId="46" fillId="6" borderId="1" xfId="0" applyNumberFormat="1" applyFont="1" applyFill="1" applyBorder="1"/>
    <xf numFmtId="49" fontId="69" fillId="0" borderId="0" xfId="0" applyNumberFormat="1" applyFont="1" applyBorder="1" applyAlignment="1">
      <alignment horizontal="left" wrapText="1"/>
    </xf>
    <xf numFmtId="49" fontId="67" fillId="0" borderId="0" xfId="0" applyNumberFormat="1" applyFont="1" applyBorder="1" applyAlignment="1"/>
    <xf numFmtId="0" fontId="46" fillId="0" borderId="1" xfId="0" applyFont="1" applyFill="1" applyBorder="1" applyAlignment="1">
      <alignment horizontal="center"/>
    </xf>
    <xf numFmtId="3" fontId="46" fillId="0" borderId="1" xfId="0" applyNumberFormat="1" applyFont="1" applyFill="1" applyBorder="1" applyAlignment="1"/>
    <xf numFmtId="49" fontId="47" fillId="0" borderId="1" xfId="0" applyNumberFormat="1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7" fillId="0" borderId="1" xfId="0" applyFont="1" applyFill="1" applyBorder="1"/>
    <xf numFmtId="0" fontId="46" fillId="0" borderId="1" xfId="0" applyFont="1" applyFill="1" applyBorder="1" applyAlignment="1">
      <alignment horizontal="left" wrapText="1"/>
    </xf>
    <xf numFmtId="1" fontId="47" fillId="0" borderId="1" xfId="0" applyNumberFormat="1" applyFont="1" applyFill="1" applyBorder="1"/>
    <xf numFmtId="0" fontId="68" fillId="0" borderId="1" xfId="0" applyFont="1" applyFill="1" applyBorder="1" applyAlignment="1">
      <alignment horizontal="left" wrapText="1"/>
    </xf>
    <xf numFmtId="3" fontId="67" fillId="0" borderId="1" xfId="0" applyNumberFormat="1" applyFont="1" applyFill="1" applyBorder="1"/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3" fontId="70" fillId="0" borderId="0" xfId="0" applyNumberFormat="1" applyFont="1" applyBorder="1"/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wrapText="1"/>
    </xf>
    <xf numFmtId="3" fontId="67" fillId="0" borderId="0" xfId="0" applyNumberFormat="1" applyFont="1" applyFill="1" applyBorder="1"/>
    <xf numFmtId="0" fontId="67" fillId="0" borderId="0" xfId="0" applyFont="1" applyFill="1"/>
    <xf numFmtId="0" fontId="70" fillId="0" borderId="0" xfId="0" applyFont="1" applyFill="1" applyBorder="1" applyAlignment="1">
      <alignment horizontal="left" wrapText="1"/>
    </xf>
    <xf numFmtId="3" fontId="70" fillId="0" borderId="0" xfId="0" applyNumberFormat="1" applyFont="1" applyFill="1" applyBorder="1"/>
    <xf numFmtId="0" fontId="67" fillId="0" borderId="0" xfId="0" applyFont="1" applyFill="1" applyBorder="1"/>
    <xf numFmtId="0" fontId="67" fillId="0" borderId="0" xfId="0" applyFont="1" applyBorder="1"/>
    <xf numFmtId="0" fontId="67" fillId="0" borderId="0" xfId="0" applyFont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/>
    <xf numFmtId="3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center" wrapText="1"/>
    </xf>
    <xf numFmtId="3" fontId="60" fillId="0" borderId="1" xfId="0" applyNumberFormat="1" applyFont="1" applyFill="1" applyBorder="1" applyAlignment="1">
      <alignment horizontal="right"/>
    </xf>
    <xf numFmtId="0" fontId="60" fillId="0" borderId="0" xfId="0" applyFont="1"/>
    <xf numFmtId="0" fontId="72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top" wrapText="1"/>
    </xf>
    <xf numFmtId="0" fontId="33" fillId="0" borderId="0" xfId="0" applyFont="1" applyAlignment="1"/>
    <xf numFmtId="0" fontId="33" fillId="0" borderId="2" xfId="0" applyFont="1" applyBorder="1" applyAlignment="1">
      <alignment horizontal="right"/>
    </xf>
    <xf numFmtId="0" fontId="34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left" vertical="center" wrapText="1"/>
    </xf>
    <xf numFmtId="3" fontId="47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3" fontId="71" fillId="0" borderId="0" xfId="0" applyNumberFormat="1" applyFont="1" applyFill="1" applyBorder="1"/>
    <xf numFmtId="0" fontId="33" fillId="0" borderId="0" xfId="0" applyFont="1" applyFill="1" applyAlignment="1">
      <alignment horizontal="center" vertical="top" wrapText="1"/>
    </xf>
    <xf numFmtId="0" fontId="33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right"/>
    </xf>
    <xf numFmtId="3" fontId="61" fillId="0" borderId="1" xfId="0" applyNumberFormat="1" applyFont="1" applyBorder="1"/>
    <xf numFmtId="0" fontId="34" fillId="0" borderId="1" xfId="0" applyFont="1" applyBorder="1" applyAlignment="1">
      <alignment horizontal="right"/>
    </xf>
    <xf numFmtId="0" fontId="40" fillId="0" borderId="1" xfId="0" applyFont="1" applyBorder="1"/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/>
    <xf numFmtId="0" fontId="71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/>
    </xf>
    <xf numFmtId="0" fontId="71" fillId="0" borderId="0" xfId="0" applyFont="1" applyBorder="1"/>
    <xf numFmtId="3" fontId="33" fillId="0" borderId="0" xfId="0" applyNumberFormat="1" applyFont="1" applyBorder="1" applyAlignment="1"/>
    <xf numFmtId="3" fontId="33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3" fontId="34" fillId="0" borderId="0" xfId="0" applyNumberFormat="1" applyFont="1" applyBorder="1"/>
    <xf numFmtId="49" fontId="33" fillId="0" borderId="1" xfId="0" applyNumberFormat="1" applyFont="1" applyBorder="1" applyAlignment="1">
      <alignment horizontal="left" vertical="center"/>
    </xf>
    <xf numFmtId="0" fontId="74" fillId="0" borderId="0" xfId="0" applyFont="1"/>
    <xf numFmtId="0" fontId="60" fillId="0" borderId="0" xfId="0" applyFont="1" applyAlignment="1">
      <alignment wrapText="1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1" fillId="0" borderId="0" xfId="0" applyFont="1" applyAlignment="1">
      <alignment vertical="center" wrapText="1"/>
    </xf>
    <xf numFmtId="0" fontId="75" fillId="0" borderId="0" xfId="0" applyFont="1"/>
    <xf numFmtId="0" fontId="4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3" fontId="34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77" fillId="0" borderId="0" xfId="0" applyFont="1"/>
    <xf numFmtId="0" fontId="78" fillId="0" borderId="0" xfId="0" applyFont="1"/>
    <xf numFmtId="0" fontId="39" fillId="0" borderId="0" xfId="0" applyFont="1"/>
    <xf numFmtId="3" fontId="17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Fill="1" applyBorder="1" applyAlignment="1">
      <alignment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 wrapText="1"/>
    </xf>
    <xf numFmtId="3" fontId="11" fillId="0" borderId="30" xfId="0" applyNumberFormat="1" applyFont="1" applyFill="1" applyBorder="1" applyAlignment="1">
      <alignment vertical="center" wrapText="1"/>
    </xf>
    <xf numFmtId="3" fontId="17" fillId="0" borderId="30" xfId="0" applyNumberFormat="1" applyFont="1" applyFill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left" vertical="center" wrapText="1"/>
    </xf>
    <xf numFmtId="3" fontId="11" fillId="0" borderId="30" xfId="0" applyNumberFormat="1" applyFont="1" applyFill="1" applyBorder="1" applyAlignment="1">
      <alignment horizontal="right" vertical="center"/>
    </xf>
    <xf numFmtId="49" fontId="11" fillId="0" borderId="30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0" fontId="46" fillId="0" borderId="1" xfId="0" applyFont="1" applyFill="1" applyBorder="1" applyAlignment="1">
      <alignment horizontal="center" vertical="center" wrapText="1"/>
    </xf>
    <xf numFmtId="0" fontId="66" fillId="0" borderId="0" xfId="0" applyFont="1"/>
    <xf numFmtId="0" fontId="46" fillId="0" borderId="1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0" xfId="0" applyFont="1"/>
    <xf numFmtId="3" fontId="81" fillId="0" borderId="6" xfId="11" applyNumberFormat="1" applyFont="1" applyBorder="1" applyAlignment="1">
      <alignment vertical="center" wrapText="1"/>
    </xf>
    <xf numFmtId="3" fontId="71" fillId="0" borderId="0" xfId="0" applyNumberFormat="1" applyFont="1"/>
    <xf numFmtId="164" fontId="71" fillId="0" borderId="0" xfId="6" applyFont="1"/>
    <xf numFmtId="0" fontId="64" fillId="10" borderId="1" xfId="0" applyFont="1" applyFill="1" applyBorder="1" applyAlignment="1">
      <alignment horizontal="left" vertical="center" indent="2"/>
    </xf>
    <xf numFmtId="49" fontId="32" fillId="12" borderId="1" xfId="0" applyNumberFormat="1" applyFont="1" applyFill="1" applyBorder="1" applyAlignment="1">
      <alignment horizontal="left"/>
    </xf>
    <xf numFmtId="0" fontId="32" fillId="12" borderId="1" xfId="0" applyFont="1" applyFill="1" applyBorder="1" applyAlignment="1">
      <alignment horizontal="left" vertical="center"/>
    </xf>
    <xf numFmtId="0" fontId="32" fillId="12" borderId="1" xfId="0" applyFont="1" applyFill="1" applyBorder="1" applyAlignment="1">
      <alignment horizontal="left" indent="2"/>
    </xf>
    <xf numFmtId="0" fontId="64" fillId="12" borderId="1" xfId="0" applyFont="1" applyFill="1" applyBorder="1" applyAlignment="1">
      <alignment horizontal="left" vertical="center" indent="2"/>
    </xf>
    <xf numFmtId="0" fontId="32" fillId="12" borderId="1" xfId="0" applyFont="1" applyFill="1" applyBorder="1" applyAlignment="1">
      <alignment vertical="center"/>
    </xf>
    <xf numFmtId="3" fontId="64" fillId="12" borderId="1" xfId="0" applyNumberFormat="1" applyFont="1" applyFill="1" applyBorder="1" applyAlignment="1">
      <alignment vertical="center"/>
    </xf>
    <xf numFmtId="0" fontId="64" fillId="12" borderId="1" xfId="0" applyFont="1" applyFill="1" applyBorder="1" applyAlignment="1">
      <alignment horizontal="left" vertical="center" wrapText="1" indent="2"/>
    </xf>
    <xf numFmtId="49" fontId="32" fillId="10" borderId="1" xfId="0" applyNumberFormat="1" applyFont="1" applyFill="1" applyBorder="1" applyAlignment="1">
      <alignment horizontal="left" vertical="center"/>
    </xf>
    <xf numFmtId="0" fontId="63" fillId="12" borderId="1" xfId="0" applyFont="1" applyFill="1" applyBorder="1" applyAlignment="1">
      <alignment horizontal="center" vertical="center" wrapText="1"/>
    </xf>
    <xf numFmtId="0" fontId="63" fillId="12" borderId="1" xfId="0" applyFont="1" applyFill="1" applyBorder="1" applyAlignment="1">
      <alignment horizontal="center" vertical="center"/>
    </xf>
    <xf numFmtId="3" fontId="61" fillId="0" borderId="1" xfId="0" applyNumberFormat="1" applyFont="1" applyBorder="1" applyAlignment="1">
      <alignment horizontal="right" vertical="center" wrapText="1"/>
    </xf>
    <xf numFmtId="0" fontId="82" fillId="0" borderId="0" xfId="0" applyFont="1"/>
    <xf numFmtId="3" fontId="83" fillId="0" borderId="1" xfId="0" applyNumberFormat="1" applyFont="1" applyBorder="1" applyAlignment="1"/>
    <xf numFmtId="3" fontId="84" fillId="0" borderId="0" xfId="0" applyNumberFormat="1" applyFont="1" applyBorder="1" applyAlignment="1"/>
    <xf numFmtId="3" fontId="81" fillId="0" borderId="1" xfId="0" applyNumberFormat="1" applyFont="1" applyBorder="1"/>
    <xf numFmtId="3" fontId="59" fillId="0" borderId="0" xfId="0" applyNumberFormat="1" applyFont="1"/>
    <xf numFmtId="0" fontId="59" fillId="0" borderId="0" xfId="0" applyFont="1" applyAlignment="1">
      <alignment horizontal="left"/>
    </xf>
    <xf numFmtId="49" fontId="84" fillId="0" borderId="0" xfId="0" applyNumberFormat="1" applyFont="1" applyBorder="1" applyAlignment="1"/>
    <xf numFmtId="0" fontId="59" fillId="0" borderId="8" xfId="0" applyFont="1" applyBorder="1" applyAlignment="1">
      <alignment horizontal="left"/>
    </xf>
    <xf numFmtId="3" fontId="83" fillId="0" borderId="8" xfId="0" quotePrefix="1" applyNumberFormat="1" applyFont="1" applyBorder="1" applyAlignment="1">
      <alignment horizontal="left"/>
    </xf>
    <xf numFmtId="0" fontId="84" fillId="0" borderId="1" xfId="0" quotePrefix="1" applyFont="1" applyBorder="1" applyAlignment="1">
      <alignment horizontal="right"/>
    </xf>
    <xf numFmtId="0" fontId="84" fillId="0" borderId="1" xfId="0" applyFont="1" applyBorder="1" applyAlignment="1"/>
    <xf numFmtId="3" fontId="60" fillId="0" borderId="1" xfId="0" applyNumberFormat="1" applyFont="1" applyBorder="1" applyAlignment="1"/>
    <xf numFmtId="0" fontId="84" fillId="0" borderId="0" xfId="0" applyFont="1"/>
    <xf numFmtId="3" fontId="84" fillId="0" borderId="0" xfId="0" applyNumberFormat="1" applyFont="1"/>
    <xf numFmtId="0" fontId="85" fillId="0" borderId="0" xfId="0" applyFont="1"/>
    <xf numFmtId="0" fontId="32" fillId="0" borderId="0" xfId="0" applyFont="1" applyBorder="1" applyAlignment="1">
      <alignment horizontal="right" vertical="center"/>
    </xf>
    <xf numFmtId="3" fontId="33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33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59" fillId="0" borderId="0" xfId="0" applyNumberFormat="1" applyFont="1" applyAlignment="1"/>
    <xf numFmtId="3" fontId="85" fillId="0" borderId="0" xfId="0" applyNumberFormat="1" applyFont="1"/>
    <xf numFmtId="0" fontId="59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 horizontal="left"/>
    </xf>
    <xf numFmtId="0" fontId="84" fillId="0" borderId="0" xfId="0" quotePrefix="1" applyFont="1" applyBorder="1" applyAlignment="1">
      <alignment horizontal="left"/>
    </xf>
    <xf numFmtId="3" fontId="84" fillId="0" borderId="0" xfId="0" quotePrefix="1" applyNumberFormat="1" applyFont="1" applyBorder="1" applyAlignment="1">
      <alignment horizontal="left"/>
    </xf>
    <xf numFmtId="3" fontId="83" fillId="0" borderId="0" xfId="0" quotePrefix="1" applyNumberFormat="1" applyFont="1" applyBorder="1" applyAlignment="1">
      <alignment horizontal="left"/>
    </xf>
    <xf numFmtId="3" fontId="84" fillId="0" borderId="1" xfId="0" applyNumberFormat="1" applyFont="1" applyBorder="1" applyAlignment="1">
      <alignment horizontal="right"/>
    </xf>
    <xf numFmtId="0" fontId="87" fillId="0" borderId="8" xfId="0" quotePrefix="1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wrapText="1"/>
    </xf>
    <xf numFmtId="0" fontId="39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88" fillId="0" borderId="1" xfId="0" applyFont="1" applyBorder="1" applyAlignment="1">
      <alignment vertical="center" wrapText="1"/>
    </xf>
    <xf numFmtId="3" fontId="59" fillId="0" borderId="1" xfId="0" applyNumberFormat="1" applyFont="1" applyBorder="1" applyAlignment="1">
      <alignment horizontal="right" vertical="center" wrapText="1"/>
    </xf>
    <xf numFmtId="3" fontId="59" fillId="0" borderId="1" xfId="0" applyNumberFormat="1" applyFont="1" applyFill="1" applyBorder="1" applyAlignment="1">
      <alignment vertical="center"/>
    </xf>
    <xf numFmtId="3" fontId="81" fillId="0" borderId="1" xfId="0" applyNumberFormat="1" applyFont="1" applyBorder="1" applyAlignment="1">
      <alignment vertical="center"/>
    </xf>
    <xf numFmtId="49" fontId="39" fillId="0" borderId="1" xfId="0" applyNumberFormat="1" applyFont="1" applyBorder="1" applyAlignment="1">
      <alignment horizontal="center" vertical="center"/>
    </xf>
    <xf numFmtId="0" fontId="88" fillId="0" borderId="1" xfId="0" applyFont="1" applyBorder="1" applyAlignment="1">
      <alignment vertical="center"/>
    </xf>
    <xf numFmtId="3" fontId="84" fillId="0" borderId="1" xfId="0" applyNumberFormat="1" applyFont="1" applyBorder="1" applyAlignment="1">
      <alignment horizontal="right" vertical="center" wrapText="1"/>
    </xf>
    <xf numFmtId="3" fontId="85" fillId="0" borderId="1" xfId="0" applyNumberFormat="1" applyFont="1" applyFill="1" applyBorder="1" applyAlignment="1">
      <alignment vertical="center"/>
    </xf>
    <xf numFmtId="3" fontId="68" fillId="0" borderId="1" xfId="0" applyNumberFormat="1" applyFont="1" applyBorder="1" applyAlignment="1">
      <alignment vertical="center"/>
    </xf>
    <xf numFmtId="0" fontId="85" fillId="0" borderId="1" xfId="0" applyFont="1" applyBorder="1" applyAlignment="1">
      <alignment vertical="center"/>
    </xf>
    <xf numFmtId="3" fontId="81" fillId="0" borderId="1" xfId="0" applyNumberFormat="1" applyFont="1" applyFill="1" applyBorder="1" applyAlignment="1">
      <alignment vertical="center"/>
    </xf>
    <xf numFmtId="49" fontId="78" fillId="0" borderId="1" xfId="0" applyNumberFormat="1" applyFont="1" applyBorder="1" applyAlignment="1">
      <alignment horizontal="center" vertical="center"/>
    </xf>
    <xf numFmtId="3" fontId="68" fillId="0" borderId="1" xfId="0" applyNumberFormat="1" applyFont="1" applyFill="1" applyBorder="1" applyAlignment="1">
      <alignment vertical="center"/>
    </xf>
    <xf numFmtId="0" fontId="59" fillId="0" borderId="1" xfId="0" applyFont="1" applyBorder="1" applyAlignment="1">
      <alignment vertical="center"/>
    </xf>
    <xf numFmtId="3" fontId="59" fillId="0" borderId="1" xfId="0" applyNumberFormat="1" applyFont="1" applyBorder="1" applyAlignment="1">
      <alignment vertical="center" wrapText="1"/>
    </xf>
    <xf numFmtId="0" fontId="59" fillId="0" borderId="1" xfId="0" applyFont="1" applyFill="1" applyBorder="1"/>
    <xf numFmtId="0" fontId="59" fillId="0" borderId="1" xfId="0" applyFont="1" applyBorder="1" applyAlignment="1">
      <alignment vertical="center" wrapText="1"/>
    </xf>
    <xf numFmtId="3" fontId="89" fillId="0" borderId="1" xfId="0" applyNumberFormat="1" applyFont="1" applyFill="1" applyBorder="1" applyAlignment="1">
      <alignment vertical="center"/>
    </xf>
    <xf numFmtId="0" fontId="90" fillId="0" borderId="1" xfId="0" applyFont="1" applyBorder="1"/>
    <xf numFmtId="0" fontId="85" fillId="0" borderId="1" xfId="0" applyFont="1" applyBorder="1"/>
    <xf numFmtId="3" fontId="85" fillId="0" borderId="1" xfId="0" applyNumberFormat="1" applyFont="1" applyBorder="1"/>
    <xf numFmtId="3" fontId="85" fillId="0" borderId="1" xfId="0" applyNumberFormat="1" applyFont="1" applyBorder="1" applyAlignment="1">
      <alignment vertical="center"/>
    </xf>
    <xf numFmtId="3" fontId="85" fillId="0" borderId="1" xfId="0" applyNumberFormat="1" applyFont="1" applyBorder="1" applyAlignment="1">
      <alignment vertical="center" wrapText="1"/>
    </xf>
    <xf numFmtId="3" fontId="91" fillId="0" borderId="1" xfId="0" applyNumberFormat="1" applyFont="1" applyBorder="1" applyAlignment="1">
      <alignment vertical="center" wrapText="1"/>
    </xf>
    <xf numFmtId="0" fontId="85" fillId="0" borderId="1" xfId="0" applyFont="1" applyBorder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3" fontId="47" fillId="0" borderId="0" xfId="0" applyNumberFormat="1" applyFont="1" applyBorder="1"/>
    <xf numFmtId="3" fontId="59" fillId="0" borderId="0" xfId="0" applyNumberFormat="1" applyFont="1" applyBorder="1"/>
    <xf numFmtId="0" fontId="92" fillId="3" borderId="0" xfId="0" applyFont="1" applyFill="1"/>
    <xf numFmtId="3" fontId="92" fillId="3" borderId="0" xfId="0" applyNumberFormat="1" applyFont="1" applyFill="1"/>
    <xf numFmtId="49" fontId="46" fillId="4" borderId="1" xfId="0" applyNumberFormat="1" applyFont="1" applyFill="1" applyBorder="1" applyAlignment="1">
      <alignment horizontal="center" vertical="center"/>
    </xf>
    <xf numFmtId="49" fontId="46" fillId="4" borderId="1" xfId="0" applyNumberFormat="1" applyFont="1" applyFill="1" applyBorder="1" applyAlignment="1">
      <alignment horizontal="left" vertical="center" wrapText="1"/>
    </xf>
    <xf numFmtId="3" fontId="46" fillId="4" borderId="1" xfId="0" applyNumberFormat="1" applyFont="1" applyFill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0" fontId="93" fillId="0" borderId="0" xfId="0" applyFont="1" applyAlignment="1">
      <alignment wrapText="1"/>
    </xf>
    <xf numFmtId="0" fontId="94" fillId="0" borderId="0" xfId="0" applyFont="1" applyAlignment="1">
      <alignment horizontal="right"/>
    </xf>
    <xf numFmtId="3" fontId="36" fillId="0" borderId="1" xfId="0" applyNumberFormat="1" applyFont="1" applyBorder="1"/>
    <xf numFmtId="3" fontId="94" fillId="0" borderId="1" xfId="0" applyNumberFormat="1" applyFont="1" applyFill="1" applyBorder="1"/>
    <xf numFmtId="3" fontId="36" fillId="0" borderId="1" xfId="0" applyNumberFormat="1" applyFont="1" applyFill="1" applyBorder="1"/>
    <xf numFmtId="3" fontId="36" fillId="4" borderId="1" xfId="0" applyNumberFormat="1" applyFont="1" applyFill="1" applyBorder="1" applyAlignment="1">
      <alignment vertical="center"/>
    </xf>
    <xf numFmtId="3" fontId="94" fillId="0" borderId="1" xfId="0" applyNumberFormat="1" applyFont="1" applyBorder="1"/>
    <xf numFmtId="3" fontId="36" fillId="4" borderId="1" xfId="0" applyNumberFormat="1" applyFont="1" applyFill="1" applyBorder="1"/>
    <xf numFmtId="3" fontId="36" fillId="6" borderId="1" xfId="0" applyNumberFormat="1" applyFont="1" applyFill="1" applyBorder="1"/>
    <xf numFmtId="49" fontId="95" fillId="0" borderId="0" xfId="0" applyNumberFormat="1" applyFont="1" applyBorder="1" applyAlignment="1"/>
    <xf numFmtId="3" fontId="36" fillId="0" borderId="1" xfId="0" applyNumberFormat="1" applyFont="1" applyFill="1" applyBorder="1" applyAlignment="1"/>
    <xf numFmtId="3" fontId="94" fillId="0" borderId="0" xfId="0" applyNumberFormat="1" applyFont="1" applyBorder="1"/>
    <xf numFmtId="3" fontId="96" fillId="0" borderId="0" xfId="0" applyNumberFormat="1" applyFont="1" applyBorder="1"/>
    <xf numFmtId="3" fontId="95" fillId="0" borderId="0" xfId="0" applyNumberFormat="1" applyFont="1" applyFill="1" applyBorder="1"/>
    <xf numFmtId="3" fontId="96" fillId="0" borderId="0" xfId="0" applyNumberFormat="1" applyFont="1" applyFill="1" applyBorder="1"/>
    <xf numFmtId="0" fontId="95" fillId="0" borderId="0" xfId="0" applyFont="1" applyFill="1" applyBorder="1"/>
    <xf numFmtId="0" fontId="95" fillId="0" borderId="0" xfId="0" applyFont="1" applyBorder="1"/>
    <xf numFmtId="0" fontId="95" fillId="0" borderId="0" xfId="0" applyFont="1"/>
    <xf numFmtId="0" fontId="93" fillId="0" borderId="0" xfId="0" applyFont="1" applyAlignment="1">
      <alignment horizontal="center" wrapText="1"/>
    </xf>
    <xf numFmtId="0" fontId="94" fillId="0" borderId="0" xfId="0" applyFont="1"/>
    <xf numFmtId="0" fontId="95" fillId="0" borderId="1" xfId="0" applyFont="1" applyBorder="1"/>
    <xf numFmtId="3" fontId="95" fillId="0" borderId="0" xfId="0" applyNumberFormat="1" applyFont="1"/>
    <xf numFmtId="0" fontId="95" fillId="0" borderId="0" xfId="0" applyFont="1" applyFill="1"/>
    <xf numFmtId="1" fontId="94" fillId="0" borderId="1" xfId="0" applyNumberFormat="1" applyFont="1" applyFill="1" applyBorder="1"/>
    <xf numFmtId="3" fontId="94" fillId="0" borderId="0" xfId="0" applyNumberFormat="1" applyFont="1"/>
    <xf numFmtId="0" fontId="97" fillId="0" borderId="0" xfId="0" applyFont="1" applyAlignment="1">
      <alignment wrapText="1"/>
    </xf>
    <xf numFmtId="0" fontId="98" fillId="0" borderId="0" xfId="0" applyFont="1" applyAlignment="1">
      <alignment horizontal="right"/>
    </xf>
    <xf numFmtId="0" fontId="99" fillId="0" borderId="1" xfId="0" applyFont="1" applyBorder="1" applyAlignment="1">
      <alignment horizontal="center" vertical="center" wrapText="1"/>
    </xf>
    <xf numFmtId="3" fontId="100" fillId="0" borderId="1" xfId="0" applyNumberFormat="1" applyFont="1" applyBorder="1"/>
    <xf numFmtId="3" fontId="98" fillId="0" borderId="1" xfId="0" applyNumberFormat="1" applyFont="1" applyFill="1" applyBorder="1"/>
    <xf numFmtId="3" fontId="100" fillId="0" borderId="1" xfId="0" applyNumberFormat="1" applyFont="1" applyFill="1" applyBorder="1"/>
    <xf numFmtId="3" fontId="100" fillId="4" borderId="1" xfId="0" applyNumberFormat="1" applyFont="1" applyFill="1" applyBorder="1" applyAlignment="1">
      <alignment vertical="center"/>
    </xf>
    <xf numFmtId="3" fontId="98" fillId="0" borderId="1" xfId="0" applyNumberFormat="1" applyFont="1" applyBorder="1"/>
    <xf numFmtId="3" fontId="100" fillId="4" borderId="1" xfId="0" applyNumberFormat="1" applyFont="1" applyFill="1" applyBorder="1"/>
    <xf numFmtId="3" fontId="100" fillId="6" borderId="1" xfId="0" applyNumberFormat="1" applyFont="1" applyFill="1" applyBorder="1"/>
    <xf numFmtId="0" fontId="101" fillId="0" borderId="1" xfId="0" applyFont="1" applyBorder="1"/>
    <xf numFmtId="49" fontId="101" fillId="0" borderId="0" xfId="0" applyNumberFormat="1" applyFont="1" applyBorder="1" applyAlignment="1"/>
    <xf numFmtId="3" fontId="100" fillId="0" borderId="1" xfId="0" applyNumberFormat="1" applyFont="1" applyFill="1" applyBorder="1" applyAlignment="1"/>
    <xf numFmtId="3" fontId="98" fillId="0" borderId="0" xfId="0" applyNumberFormat="1" applyFont="1" applyBorder="1"/>
    <xf numFmtId="3" fontId="102" fillId="0" borderId="0" xfId="0" applyNumberFormat="1" applyFont="1" applyBorder="1"/>
    <xf numFmtId="3" fontId="101" fillId="0" borderId="0" xfId="0" applyNumberFormat="1" applyFont="1" applyFill="1" applyBorder="1"/>
    <xf numFmtId="3" fontId="102" fillId="0" borderId="0" xfId="0" applyNumberFormat="1" applyFont="1" applyFill="1" applyBorder="1"/>
    <xf numFmtId="0" fontId="101" fillId="0" borderId="0" xfId="0" applyFont="1" applyFill="1" applyBorder="1"/>
    <xf numFmtId="0" fontId="101" fillId="0" borderId="0" xfId="0" applyFont="1" applyBorder="1"/>
    <xf numFmtId="0" fontId="101" fillId="0" borderId="0" xfId="0" applyFont="1"/>
    <xf numFmtId="0" fontId="98" fillId="0" borderId="0" xfId="0" applyFont="1"/>
    <xf numFmtId="0" fontId="100" fillId="0" borderId="1" xfId="0" applyFont="1" applyBorder="1" applyAlignment="1">
      <alignment horizontal="center" vertical="center" wrapText="1"/>
    </xf>
    <xf numFmtId="1" fontId="98" fillId="0" borderId="1" xfId="0" applyNumberFormat="1" applyFont="1" applyFill="1" applyBorder="1"/>
    <xf numFmtId="0" fontId="99" fillId="0" borderId="1" xfId="0" applyFont="1" applyFill="1" applyBorder="1" applyAlignment="1">
      <alignment horizontal="center" vertical="center" wrapText="1"/>
    </xf>
    <xf numFmtId="0" fontId="101" fillId="0" borderId="0" xfId="0" applyFont="1" applyFill="1"/>
    <xf numFmtId="0" fontId="95" fillId="0" borderId="1" xfId="0" applyFont="1" applyFill="1" applyBorder="1"/>
    <xf numFmtId="3" fontId="95" fillId="0" borderId="1" xfId="0" applyNumberFormat="1" applyFont="1" applyFill="1" applyBorder="1"/>
    <xf numFmtId="0" fontId="85" fillId="0" borderId="0" xfId="0" applyFont="1" applyFill="1" applyBorder="1" applyAlignment="1">
      <alignment horizontal="center" vertical="center" wrapText="1"/>
    </xf>
    <xf numFmtId="3" fontId="85" fillId="0" borderId="0" xfId="0" applyNumberFormat="1" applyFont="1" applyBorder="1"/>
    <xf numFmtId="3" fontId="85" fillId="0" borderId="0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49" fontId="81" fillId="0" borderId="1" xfId="0" applyNumberFormat="1" applyFont="1" applyBorder="1" applyAlignment="1">
      <alignment horizontal="center" vertical="center"/>
    </xf>
    <xf numFmtId="0" fontId="81" fillId="0" borderId="1" xfId="0" applyFont="1" applyBorder="1" applyAlignment="1">
      <alignment vertical="center" wrapText="1"/>
    </xf>
    <xf numFmtId="3" fontId="81" fillId="0" borderId="1" xfId="0" applyNumberFormat="1" applyFont="1" applyBorder="1" applyAlignment="1">
      <alignment horizontal="right" vertical="center" wrapText="1"/>
    </xf>
    <xf numFmtId="0" fontId="81" fillId="0" borderId="1" xfId="0" applyFont="1" applyBorder="1"/>
    <xf numFmtId="0" fontId="81" fillId="0" borderId="0" xfId="0" applyFont="1"/>
    <xf numFmtId="3" fontId="81" fillId="0" borderId="0" xfId="0" applyNumberFormat="1" applyFont="1"/>
    <xf numFmtId="0" fontId="98" fillId="0" borderId="0" xfId="0" applyFont="1" applyFill="1" applyBorder="1" applyAlignment="1">
      <alignment vertical="center" wrapText="1"/>
    </xf>
    <xf numFmtId="0" fontId="100" fillId="0" borderId="0" xfId="0" applyFont="1" applyBorder="1" applyAlignment="1">
      <alignment horizontal="center" vertical="center" wrapText="1"/>
    </xf>
    <xf numFmtId="3" fontId="98" fillId="0" borderId="1" xfId="0" applyNumberFormat="1" applyFont="1" applyBorder="1" applyAlignment="1">
      <alignment vertical="center"/>
    </xf>
    <xf numFmtId="3" fontId="98" fillId="0" borderId="5" xfId="0" applyNumberFormat="1" applyFont="1" applyBorder="1" applyAlignment="1">
      <alignment vertical="center"/>
    </xf>
    <xf numFmtId="3" fontId="98" fillId="0" borderId="2" xfId="0" applyNumberFormat="1" applyFont="1" applyBorder="1" applyAlignment="1">
      <alignment vertical="center"/>
    </xf>
    <xf numFmtId="3" fontId="98" fillId="0" borderId="0" xfId="6" applyNumberFormat="1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10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3" fontId="104" fillId="0" borderId="1" xfId="0" applyNumberFormat="1" applyFont="1" applyBorder="1" applyAlignment="1">
      <alignment vertical="center"/>
    </xf>
    <xf numFmtId="3" fontId="104" fillId="0" borderId="5" xfId="0" applyNumberFormat="1" applyFont="1" applyBorder="1" applyAlignment="1">
      <alignment vertical="center"/>
    </xf>
    <xf numFmtId="3" fontId="104" fillId="0" borderId="2" xfId="0" applyNumberFormat="1" applyFont="1" applyBorder="1" applyAlignment="1">
      <alignment vertical="center"/>
    </xf>
    <xf numFmtId="3" fontId="104" fillId="0" borderId="0" xfId="6" applyNumberFormat="1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Alignment="1">
      <alignment vertical="center"/>
    </xf>
    <xf numFmtId="3" fontId="104" fillId="0" borderId="6" xfId="0" applyNumberFormat="1" applyFont="1" applyBorder="1" applyAlignment="1">
      <alignment vertical="center"/>
    </xf>
    <xf numFmtId="0" fontId="104" fillId="0" borderId="2" xfId="0" applyFont="1" applyBorder="1" applyAlignment="1">
      <alignment vertical="center"/>
    </xf>
    <xf numFmtId="3" fontId="104" fillId="0" borderId="0" xfId="0" applyNumberFormat="1" applyFont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105" fillId="0" borderId="0" xfId="0" applyFont="1" applyBorder="1" applyAlignment="1">
      <alignment horizontal="center" vertical="center" wrapText="1"/>
    </xf>
    <xf numFmtId="0" fontId="105" fillId="0" borderId="1" xfId="0" applyFont="1" applyFill="1" applyBorder="1" applyAlignment="1">
      <alignment horizontal="center" vertical="center" wrapText="1"/>
    </xf>
    <xf numFmtId="3" fontId="65" fillId="0" borderId="1" xfId="0" applyNumberFormat="1" applyFont="1" applyBorder="1" applyAlignment="1">
      <alignment vertical="center"/>
    </xf>
    <xf numFmtId="3" fontId="65" fillId="0" borderId="5" xfId="0" applyNumberFormat="1" applyFont="1" applyBorder="1" applyAlignment="1">
      <alignment vertical="center"/>
    </xf>
    <xf numFmtId="3" fontId="65" fillId="0" borderId="2" xfId="0" applyNumberFormat="1" applyFont="1" applyBorder="1" applyAlignment="1">
      <alignment vertical="center"/>
    </xf>
    <xf numFmtId="3" fontId="65" fillId="0" borderId="0" xfId="6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105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2" xfId="0" applyFont="1" applyBorder="1" applyAlignment="1">
      <alignment horizontal="right" vertical="center"/>
    </xf>
    <xf numFmtId="3" fontId="33" fillId="0" borderId="2" xfId="0" applyNumberFormat="1" applyFont="1" applyBorder="1" applyAlignment="1">
      <alignment vertical="center"/>
    </xf>
    <xf numFmtId="0" fontId="100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3" fontId="46" fillId="0" borderId="3" xfId="0" applyNumberFormat="1" applyFont="1" applyBorder="1"/>
    <xf numFmtId="49" fontId="68" fillId="0" borderId="0" xfId="0" applyNumberFormat="1" applyFont="1" applyBorder="1" applyAlignment="1">
      <alignment horizontal="left" wrapText="1"/>
    </xf>
    <xf numFmtId="3" fontId="46" fillId="0" borderId="0" xfId="0" applyNumberFormat="1" applyFont="1" applyBorder="1"/>
    <xf numFmtId="3" fontId="36" fillId="0" borderId="0" xfId="0" applyNumberFormat="1" applyFont="1" applyBorder="1"/>
    <xf numFmtId="3" fontId="100" fillId="0" borderId="0" xfId="0" applyNumberFormat="1" applyFont="1" applyBorder="1"/>
    <xf numFmtId="0" fontId="47" fillId="0" borderId="5" xfId="0" applyFont="1" applyBorder="1" applyAlignment="1">
      <alignment horizontal="center"/>
    </xf>
    <xf numFmtId="0" fontId="106" fillId="0" borderId="0" xfId="0" applyFont="1" applyFill="1"/>
    <xf numFmtId="0" fontId="106" fillId="0" borderId="0" xfId="0" applyFont="1"/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107" fillId="0" borderId="1" xfId="0" applyFont="1" applyFill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3" fontId="107" fillId="0" borderId="7" xfId="0" applyNumberFormat="1" applyFont="1" applyFill="1" applyBorder="1"/>
    <xf numFmtId="3" fontId="107" fillId="0" borderId="1" xfId="0" applyNumberFormat="1" applyFont="1" applyFill="1" applyBorder="1"/>
    <xf numFmtId="3" fontId="33" fillId="0" borderId="1" xfId="0" applyNumberFormat="1" applyFont="1" applyFill="1" applyBorder="1"/>
    <xf numFmtId="3" fontId="108" fillId="0" borderId="1" xfId="0" applyNumberFormat="1" applyFont="1" applyBorder="1"/>
    <xf numFmtId="0" fontId="106" fillId="0" borderId="1" xfId="0" applyFont="1" applyBorder="1"/>
    <xf numFmtId="3" fontId="107" fillId="0" borderId="1" xfId="0" applyNumberFormat="1" applyFont="1" applyBorder="1"/>
    <xf numFmtId="3" fontId="107" fillId="0" borderId="6" xfId="0" applyNumberFormat="1" applyFont="1" applyBorder="1"/>
    <xf numFmtId="3" fontId="34" fillId="0" borderId="5" xfId="0" applyNumberFormat="1" applyFont="1" applyBorder="1"/>
    <xf numFmtId="0" fontId="106" fillId="0" borderId="5" xfId="0" applyFont="1" applyFill="1" applyBorder="1"/>
    <xf numFmtId="0" fontId="106" fillId="0" borderId="5" xfId="0" applyFont="1" applyBorder="1"/>
    <xf numFmtId="0" fontId="33" fillId="0" borderId="2" xfId="0" applyFont="1" applyBorder="1"/>
    <xf numFmtId="0" fontId="106" fillId="0" borderId="2" xfId="0" applyFont="1" applyFill="1" applyBorder="1"/>
    <xf numFmtId="0" fontId="106" fillId="0" borderId="2" xfId="0" applyFont="1" applyBorder="1"/>
    <xf numFmtId="0" fontId="107" fillId="0" borderId="7" xfId="0" applyFont="1" applyFill="1" applyBorder="1" applyAlignment="1">
      <alignment horizontal="center" vertical="center" wrapText="1"/>
    </xf>
    <xf numFmtId="3" fontId="45" fillId="0" borderId="1" xfId="0" applyNumberFormat="1" applyFont="1" applyBorder="1"/>
    <xf numFmtId="49" fontId="33" fillId="0" borderId="1" xfId="0" applyNumberFormat="1" applyFont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center" vertical="center" wrapText="1"/>
    </xf>
    <xf numFmtId="10" fontId="38" fillId="0" borderId="0" xfId="7" applyNumberFormat="1" applyFont="1"/>
    <xf numFmtId="0" fontId="38" fillId="0" borderId="0" xfId="0" applyFont="1"/>
    <xf numFmtId="3" fontId="34" fillId="0" borderId="1" xfId="0" applyNumberFormat="1" applyFont="1" applyFill="1" applyBorder="1"/>
    <xf numFmtId="3" fontId="32" fillId="0" borderId="0" xfId="0" applyNumberFormat="1" applyFont="1"/>
    <xf numFmtId="3" fontId="38" fillId="0" borderId="0" xfId="0" applyNumberFormat="1" applyFont="1"/>
    <xf numFmtId="49" fontId="33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horizontal="center"/>
    </xf>
    <xf numFmtId="49" fontId="46" fillId="0" borderId="5" xfId="0" applyNumberFormat="1" applyFont="1" applyBorder="1" applyAlignment="1">
      <alignment horizontal="left" wrapText="1"/>
    </xf>
    <xf numFmtId="0" fontId="47" fillId="0" borderId="2" xfId="0" applyFont="1" applyBorder="1" applyAlignment="1">
      <alignment horizontal="center"/>
    </xf>
    <xf numFmtId="49" fontId="46" fillId="0" borderId="2" xfId="0" applyNumberFormat="1" applyFont="1" applyBorder="1" applyAlignment="1">
      <alignment horizontal="left" wrapText="1"/>
    </xf>
    <xf numFmtId="49" fontId="32" fillId="0" borderId="2" xfId="0" applyNumberFormat="1" applyFont="1" applyBorder="1" applyAlignment="1"/>
    <xf numFmtId="0" fontId="32" fillId="0" borderId="2" xfId="0" applyFont="1" applyBorder="1"/>
    <xf numFmtId="3" fontId="38" fillId="0" borderId="1" xfId="0" applyNumberFormat="1" applyFont="1" applyBorder="1" applyAlignment="1"/>
    <xf numFmtId="0" fontId="47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wrapText="1"/>
    </xf>
    <xf numFmtId="0" fontId="46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107" fillId="0" borderId="3" xfId="0" applyFont="1" applyFill="1" applyBorder="1" applyAlignment="1">
      <alignment horizontal="center" vertical="center" wrapText="1"/>
    </xf>
    <xf numFmtId="3" fontId="107" fillId="0" borderId="21" xfId="0" applyNumberFormat="1" applyFont="1" applyFill="1" applyBorder="1"/>
    <xf numFmtId="3" fontId="107" fillId="0" borderId="3" xfId="0" applyNumberFormat="1" applyFont="1" applyFill="1" applyBorder="1"/>
    <xf numFmtId="3" fontId="108" fillId="0" borderId="3" xfId="0" applyNumberFormat="1" applyFont="1" applyFill="1" applyBorder="1"/>
    <xf numFmtId="0" fontId="106" fillId="0" borderId="3" xfId="0" applyFont="1" applyFill="1" applyBorder="1"/>
    <xf numFmtId="3" fontId="107" fillId="0" borderId="60" xfId="0" applyNumberFormat="1" applyFont="1" applyFill="1" applyBorder="1"/>
    <xf numFmtId="0" fontId="107" fillId="0" borderId="21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/>
    <xf numFmtId="3" fontId="107" fillId="0" borderId="0" xfId="0" applyNumberFormat="1" applyFont="1" applyBorder="1"/>
    <xf numFmtId="3" fontId="45" fillId="0" borderId="3" xfId="0" applyNumberFormat="1" applyFont="1" applyFill="1" applyBorder="1"/>
    <xf numFmtId="3" fontId="45" fillId="0" borderId="1" xfId="0" applyNumberFormat="1" applyFont="1" applyFill="1" applyBorder="1"/>
    <xf numFmtId="10" fontId="32" fillId="0" borderId="0" xfId="7" applyNumberFormat="1" applyFont="1"/>
    <xf numFmtId="49" fontId="109" fillId="0" borderId="1" xfId="0" applyNumberFormat="1" applyFont="1" applyFill="1" applyBorder="1" applyAlignment="1">
      <alignment horizontal="center"/>
    </xf>
    <xf numFmtId="49" fontId="109" fillId="0" borderId="1" xfId="0" applyNumberFormat="1" applyFont="1" applyFill="1" applyBorder="1" applyAlignment="1">
      <alignment horizontal="left" wrapText="1"/>
    </xf>
    <xf numFmtId="3" fontId="33" fillId="0" borderId="3" xfId="0" applyNumberFormat="1" applyFont="1" applyFill="1" applyBorder="1"/>
    <xf numFmtId="10" fontId="108" fillId="0" borderId="0" xfId="7" applyNumberFormat="1" applyFont="1"/>
    <xf numFmtId="0" fontId="108" fillId="0" borderId="3" xfId="0" applyFont="1" applyFill="1" applyBorder="1"/>
    <xf numFmtId="0" fontId="108" fillId="0" borderId="1" xfId="0" applyFont="1" applyBorder="1"/>
    <xf numFmtId="0" fontId="69" fillId="0" borderId="1" xfId="0" applyFont="1" applyFill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49" fontId="34" fillId="0" borderId="1" xfId="0" applyNumberFormat="1" applyFont="1" applyBorder="1" applyAlignment="1">
      <alignment wrapText="1"/>
    </xf>
    <xf numFmtId="0" fontId="87" fillId="0" borderId="0" xfId="0" quotePrefix="1" applyFont="1" applyBorder="1" applyAlignment="1">
      <alignment horizontal="left"/>
    </xf>
    <xf numFmtId="0" fontId="47" fillId="0" borderId="1" xfId="0" applyFont="1" applyBorder="1" applyAlignment="1">
      <alignment horizontal="right" vertical="center"/>
    </xf>
    <xf numFmtId="0" fontId="47" fillId="0" borderId="1" xfId="0" applyFont="1" applyBorder="1" applyAlignment="1">
      <alignment horizontal="left" vertical="center" wrapText="1"/>
    </xf>
    <xf numFmtId="0" fontId="11" fillId="12" borderId="1" xfId="0" applyFont="1" applyFill="1" applyBorder="1" applyAlignment="1">
      <alignment vertical="center" wrapText="1"/>
    </xf>
    <xf numFmtId="3" fontId="11" fillId="12" borderId="1" xfId="0" applyNumberFormat="1" applyFont="1" applyFill="1" applyBorder="1" applyAlignment="1">
      <alignment vertical="center" wrapText="1"/>
    </xf>
    <xf numFmtId="3" fontId="11" fillId="12" borderId="30" xfId="0" applyNumberFormat="1" applyFont="1" applyFill="1" applyBorder="1" applyAlignment="1">
      <alignment vertical="center" wrapText="1"/>
    </xf>
    <xf numFmtId="0" fontId="11" fillId="12" borderId="3" xfId="0" applyFont="1" applyFill="1" applyBorder="1" applyAlignment="1">
      <alignment vertical="center" wrapText="1"/>
    </xf>
    <xf numFmtId="3" fontId="11" fillId="12" borderId="1" xfId="0" applyNumberFormat="1" applyFont="1" applyFill="1" applyBorder="1" applyAlignment="1">
      <alignment vertical="center"/>
    </xf>
    <xf numFmtId="3" fontId="11" fillId="12" borderId="4" xfId="0" applyNumberFormat="1" applyFont="1" applyFill="1" applyBorder="1" applyAlignment="1">
      <alignment vertical="center" wrapText="1"/>
    </xf>
    <xf numFmtId="0" fontId="2" fillId="12" borderId="0" xfId="0" applyFont="1" applyFill="1" applyAlignment="1">
      <alignment vertical="center"/>
    </xf>
    <xf numFmtId="3" fontId="11" fillId="12" borderId="4" xfId="0" applyNumberFormat="1" applyFont="1" applyFill="1" applyBorder="1" applyAlignment="1">
      <alignment vertical="center"/>
    </xf>
    <xf numFmtId="3" fontId="11" fillId="12" borderId="30" xfId="0" applyNumberFormat="1" applyFont="1" applyFill="1" applyBorder="1" applyAlignment="1">
      <alignment horizontal="right" vertical="center"/>
    </xf>
    <xf numFmtId="0" fontId="15" fillId="12" borderId="0" xfId="0" applyFont="1" applyFill="1" applyAlignment="1">
      <alignment vertical="center"/>
    </xf>
    <xf numFmtId="0" fontId="17" fillId="6" borderId="1" xfId="0" applyFont="1" applyFill="1" applyBorder="1" applyAlignment="1">
      <alignment vertical="center"/>
    </xf>
    <xf numFmtId="3" fontId="17" fillId="6" borderId="1" xfId="0" applyNumberFormat="1" applyFont="1" applyFill="1" applyBorder="1" applyAlignment="1">
      <alignment vertical="center"/>
    </xf>
    <xf numFmtId="3" fontId="17" fillId="6" borderId="4" xfId="0" applyNumberFormat="1" applyFont="1" applyFill="1" applyBorder="1" applyAlignment="1">
      <alignment vertical="center"/>
    </xf>
    <xf numFmtId="3" fontId="17" fillId="6" borderId="30" xfId="0" applyNumberFormat="1" applyFont="1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3" fontId="11" fillId="6" borderId="1" xfId="0" applyNumberFormat="1" applyFont="1" applyFill="1" applyBorder="1" applyAlignment="1">
      <alignment vertical="center"/>
    </xf>
    <xf numFmtId="3" fontId="11" fillId="6" borderId="30" xfId="0" applyNumberFormat="1" applyFont="1" applyFill="1" applyBorder="1" applyAlignment="1">
      <alignment horizontal="right" vertical="center"/>
    </xf>
    <xf numFmtId="0" fontId="15" fillId="6" borderId="0" xfId="0" applyFont="1" applyFill="1" applyAlignment="1">
      <alignment vertical="center"/>
    </xf>
    <xf numFmtId="0" fontId="19" fillId="6" borderId="1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3" fontId="38" fillId="0" borderId="0" xfId="0" applyNumberFormat="1" applyFont="1" applyBorder="1"/>
    <xf numFmtId="0" fontId="9" fillId="0" borderId="3" xfId="0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 wrapText="1"/>
    </xf>
    <xf numFmtId="3" fontId="11" fillId="0" borderId="5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horizontal="center" vertical="center" wrapText="1"/>
    </xf>
    <xf numFmtId="4" fontId="32" fillId="0" borderId="0" xfId="0" applyNumberFormat="1" applyFont="1"/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 wrapText="1"/>
    </xf>
    <xf numFmtId="49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left" vertical="center" wrapText="1"/>
    </xf>
    <xf numFmtId="3" fontId="33" fillId="0" borderId="1" xfId="0" applyNumberFormat="1" applyFont="1" applyBorder="1" applyAlignment="1">
      <alignment vertical="center" wrapText="1"/>
    </xf>
    <xf numFmtId="3" fontId="33" fillId="0" borderId="8" xfId="0" applyNumberFormat="1" applyFont="1" applyFill="1" applyBorder="1" applyAlignment="1">
      <alignment vertical="center"/>
    </xf>
    <xf numFmtId="49" fontId="47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left" vertical="center" wrapText="1"/>
    </xf>
    <xf numFmtId="49" fontId="46" fillId="0" borderId="1" xfId="0" applyNumberFormat="1" applyFont="1" applyFill="1" applyBorder="1" applyAlignment="1">
      <alignment horizontal="left" vertical="center" wrapText="1"/>
    </xf>
    <xf numFmtId="3" fontId="32" fillId="0" borderId="8" xfId="0" applyNumberFormat="1" applyFont="1" applyFill="1" applyBorder="1" applyAlignment="1">
      <alignment vertical="center"/>
    </xf>
    <xf numFmtId="49" fontId="47" fillId="0" borderId="1" xfId="0" applyNumberFormat="1" applyFont="1" applyBorder="1" applyAlignment="1">
      <alignment horizontal="left" vertical="center" wrapText="1"/>
    </xf>
    <xf numFmtId="49" fontId="46" fillId="6" borderId="1" xfId="0" applyNumberFormat="1" applyFont="1" applyFill="1" applyBorder="1" applyAlignment="1">
      <alignment horizontal="center" vertical="center"/>
    </xf>
    <xf numFmtId="49" fontId="46" fillId="6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vertical="center" wrapText="1"/>
    </xf>
    <xf numFmtId="0" fontId="47" fillId="0" borderId="5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vertical="center" wrapText="1"/>
    </xf>
    <xf numFmtId="4" fontId="33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" fontId="33" fillId="0" borderId="1" xfId="0" applyNumberFormat="1" applyFont="1" applyBorder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2" xfId="0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85" fillId="0" borderId="0" xfId="0" applyFont="1" applyAlignment="1">
      <alignment horizontal="center" vertical="center" wrapText="1"/>
    </xf>
    <xf numFmtId="3" fontId="33" fillId="0" borderId="2" xfId="0" applyNumberFormat="1" applyFont="1" applyBorder="1" applyAlignment="1">
      <alignment horizontal="right" vertical="center"/>
    </xf>
    <xf numFmtId="3" fontId="32" fillId="0" borderId="2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right" vertical="center"/>
    </xf>
    <xf numFmtId="3" fontId="32" fillId="0" borderId="2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 wrapText="1"/>
    </xf>
    <xf numFmtId="0" fontId="59" fillId="0" borderId="0" xfId="0" applyFont="1" applyAlignment="1">
      <alignment horizontal="right" vertical="center" wrapText="1"/>
    </xf>
    <xf numFmtId="0" fontId="47" fillId="12" borderId="6" xfId="0" applyFont="1" applyFill="1" applyBorder="1" applyAlignment="1">
      <alignment horizontal="left" vertical="center"/>
    </xf>
    <xf numFmtId="0" fontId="47" fillId="12" borderId="30" xfId="0" applyFont="1" applyFill="1" applyBorder="1" applyAlignment="1">
      <alignment horizontal="left" vertical="center"/>
    </xf>
    <xf numFmtId="0" fontId="47" fillId="12" borderId="7" xfId="0" applyFont="1" applyFill="1" applyBorder="1" applyAlignment="1">
      <alignment horizontal="left" vertical="center"/>
    </xf>
    <xf numFmtId="0" fontId="47" fillId="10" borderId="6" xfId="0" applyFont="1" applyFill="1" applyBorder="1" applyAlignment="1">
      <alignment horizontal="left" vertical="center"/>
    </xf>
    <xf numFmtId="0" fontId="47" fillId="10" borderId="30" xfId="0" applyFont="1" applyFill="1" applyBorder="1" applyAlignment="1">
      <alignment horizontal="left" vertical="center"/>
    </xf>
    <xf numFmtId="0" fontId="47" fillId="10" borderId="7" xfId="0" applyFont="1" applyFill="1" applyBorder="1" applyAlignment="1">
      <alignment horizontal="left" vertical="center"/>
    </xf>
    <xf numFmtId="3" fontId="64" fillId="10" borderId="6" xfId="0" applyNumberFormat="1" applyFont="1" applyFill="1" applyBorder="1" applyAlignment="1">
      <alignment horizontal="right" vertical="center"/>
    </xf>
    <xf numFmtId="3" fontId="64" fillId="10" borderId="30" xfId="0" applyNumberFormat="1" applyFont="1" applyFill="1" applyBorder="1" applyAlignment="1">
      <alignment horizontal="right" vertical="center"/>
    </xf>
    <xf numFmtId="3" fontId="64" fillId="10" borderId="7" xfId="0" applyNumberFormat="1" applyFont="1" applyFill="1" applyBorder="1" applyAlignment="1">
      <alignment horizontal="right" vertical="center"/>
    </xf>
    <xf numFmtId="3" fontId="64" fillId="12" borderId="6" xfId="0" applyNumberFormat="1" applyFont="1" applyFill="1" applyBorder="1" applyAlignment="1">
      <alignment horizontal="right" vertical="center"/>
    </xf>
    <xf numFmtId="3" fontId="64" fillId="12" borderId="30" xfId="0" applyNumberFormat="1" applyFont="1" applyFill="1" applyBorder="1" applyAlignment="1">
      <alignment horizontal="right" vertical="center"/>
    </xf>
    <xf numFmtId="3" fontId="64" fillId="12" borderId="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63" fillId="12" borderId="6" xfId="0" applyFont="1" applyFill="1" applyBorder="1" applyAlignment="1">
      <alignment horizontal="center" vertical="center" wrapText="1"/>
    </xf>
    <xf numFmtId="0" fontId="63" fillId="12" borderId="7" xfId="0" applyFont="1" applyFill="1" applyBorder="1" applyAlignment="1">
      <alignment horizontal="center" vertical="center" wrapText="1"/>
    </xf>
    <xf numFmtId="0" fontId="63" fillId="12" borderId="6" xfId="0" applyFont="1" applyFill="1" applyBorder="1" applyAlignment="1">
      <alignment horizontal="center" vertical="center"/>
    </xf>
    <xf numFmtId="0" fontId="63" fillId="12" borderId="7" xfId="0" applyFont="1" applyFill="1" applyBorder="1" applyAlignment="1">
      <alignment horizontal="center" vertical="center"/>
    </xf>
    <xf numFmtId="0" fontId="63" fillId="1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/>
    </xf>
    <xf numFmtId="0" fontId="33" fillId="0" borderId="0" xfId="0" applyFont="1" applyAlignment="1"/>
    <xf numFmtId="0" fontId="73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0" fillId="0" borderId="0" xfId="0" applyFont="1" applyAlignment="1">
      <alignment horizontal="right" vertical="center" wrapText="1"/>
    </xf>
    <xf numFmtId="0" fontId="85" fillId="0" borderId="1" xfId="0" applyFont="1" applyBorder="1" applyAlignment="1">
      <alignment horizontal="left" vertical="center" wrapText="1"/>
    </xf>
    <xf numFmtId="3" fontId="85" fillId="0" borderId="0" xfId="0" applyNumberFormat="1" applyFont="1" applyBorder="1" applyAlignment="1">
      <alignment horizontal="left" vertical="center" wrapText="1"/>
    </xf>
    <xf numFmtId="0" fontId="59" fillId="0" borderId="2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9" fontId="29" fillId="0" borderId="38" xfId="0" applyNumberFormat="1" applyFont="1" applyBorder="1" applyAlignment="1">
      <alignment horizontal="center" vertical="center" wrapText="1"/>
    </xf>
    <xf numFmtId="169" fontId="29" fillId="0" borderId="43" xfId="0" applyNumberFormat="1" applyFont="1" applyBorder="1" applyAlignment="1">
      <alignment horizontal="center" vertical="center" wrapText="1"/>
    </xf>
    <xf numFmtId="169" fontId="29" fillId="0" borderId="28" xfId="0" applyNumberFormat="1" applyFont="1" applyBorder="1" applyAlignment="1">
      <alignment horizontal="center" vertical="center" wrapText="1"/>
    </xf>
    <xf numFmtId="169" fontId="29" fillId="0" borderId="39" xfId="0" applyNumberFormat="1" applyFont="1" applyBorder="1" applyAlignment="1">
      <alignment horizontal="center" vertical="center" wrapText="1"/>
    </xf>
    <xf numFmtId="169" fontId="29" fillId="0" borderId="29" xfId="0" applyNumberFormat="1" applyFont="1" applyBorder="1" applyAlignment="1">
      <alignment horizontal="center" vertical="center" wrapText="1"/>
    </xf>
    <xf numFmtId="169" fontId="29" fillId="0" borderId="40" xfId="0" applyNumberFormat="1" applyFont="1" applyBorder="1" applyAlignment="1">
      <alignment horizontal="center" vertical="center" wrapText="1"/>
    </xf>
    <xf numFmtId="169" fontId="29" fillId="0" borderId="40" xfId="0" applyNumberFormat="1" applyFont="1" applyBorder="1" applyAlignment="1">
      <alignment horizontal="center" vertical="center"/>
    </xf>
    <xf numFmtId="0" fontId="48" fillId="0" borderId="0" xfId="10" applyFont="1" applyAlignment="1" applyProtection="1">
      <alignment horizontal="center" wrapText="1"/>
      <protection locked="0"/>
    </xf>
    <xf numFmtId="0" fontId="48" fillId="0" borderId="0" xfId="10" applyFont="1" applyAlignment="1" applyProtection="1">
      <alignment horizontal="center"/>
      <protection locked="0"/>
    </xf>
    <xf numFmtId="0" fontId="52" fillId="0" borderId="23" xfId="10" applyFont="1" applyBorder="1" applyAlignment="1">
      <alignment horizontal="left" vertical="center" indent="1"/>
    </xf>
    <xf numFmtId="0" fontId="52" fillId="0" borderId="55" xfId="10" applyFont="1" applyBorder="1" applyAlignment="1">
      <alignment horizontal="left" vertical="center" indent="1"/>
    </xf>
    <xf numFmtId="0" fontId="52" fillId="0" borderId="56" xfId="10" applyFont="1" applyBorder="1" applyAlignment="1">
      <alignment horizontal="left" vertical="center" indent="1"/>
    </xf>
    <xf numFmtId="0" fontId="0" fillId="0" borderId="55" xfId="0" applyBorder="1"/>
    <xf numFmtId="0" fontId="0" fillId="0" borderId="56" xfId="0" applyBorder="1"/>
    <xf numFmtId="0" fontId="5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1" fillId="0" borderId="6" xfId="0" applyNumberFormat="1" applyFont="1" applyBorder="1" applyAlignment="1">
      <alignment horizontal="center" wrapText="1"/>
    </xf>
    <xf numFmtId="3" fontId="11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NumberFormat="1" applyAlignment="1">
      <alignment horizontal="left" wrapText="1"/>
    </xf>
  </cellXfs>
  <cellStyles count="12">
    <cellStyle name="Ezres" xfId="6" builtinId="3"/>
    <cellStyle name="Ezres 2" xfId="9" xr:uid="{00000000-0005-0000-0000-000001000000}"/>
    <cellStyle name="Normál" xfId="0" builtinId="0"/>
    <cellStyle name="Normál 2" xfId="1" xr:uid="{00000000-0005-0000-0000-000003000000}"/>
    <cellStyle name="Normál 2 2" xfId="2" xr:uid="{00000000-0005-0000-0000-000004000000}"/>
    <cellStyle name="Normál 3" xfId="4" xr:uid="{00000000-0005-0000-0000-000005000000}"/>
    <cellStyle name="Normál 4 2" xfId="11" xr:uid="{00000000-0005-0000-0000-000006000000}"/>
    <cellStyle name="Normál_KVRENMUNKA" xfId="8" xr:uid="{00000000-0005-0000-0000-000007000000}"/>
    <cellStyle name="Normál_SEGEDLETEK" xfId="10" xr:uid="{00000000-0005-0000-0000-000008000000}"/>
    <cellStyle name="Pénznem 2" xfId="3" xr:uid="{00000000-0005-0000-0000-000009000000}"/>
    <cellStyle name="Pénznem 3" xfId="5" xr:uid="{00000000-0005-0000-0000-00000A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U77"/>
  <sheetViews>
    <sheetView tabSelected="1" showWhiteSpace="0" view="pageBreakPreview" zoomScaleNormal="100" zoomScaleSheetLayoutView="100" workbookViewId="0">
      <selection activeCell="M71" sqref="M71"/>
    </sheetView>
  </sheetViews>
  <sheetFormatPr defaultRowHeight="11.25" x14ac:dyDescent="0.2"/>
  <cols>
    <col min="1" max="1" width="5.28515625" style="621" customWidth="1"/>
    <col min="2" max="2" width="50.85546875" style="1002" customWidth="1"/>
    <col min="3" max="3" width="13.5703125" style="344" customWidth="1"/>
    <col min="4" max="4" width="13.28515625" style="344" hidden="1" customWidth="1"/>
    <col min="5" max="5" width="11.7109375" style="344" customWidth="1"/>
    <col min="6" max="6" width="11.7109375" style="344" hidden="1" customWidth="1"/>
    <col min="7" max="7" width="12.28515625" style="344" customWidth="1"/>
    <col min="8" max="8" width="11.7109375" style="344" hidden="1" customWidth="1"/>
    <col min="9" max="9" width="11.7109375" style="344" customWidth="1"/>
    <col min="10" max="10" width="11.7109375" style="344" hidden="1" customWidth="1"/>
    <col min="11" max="12" width="10.28515625" style="344" customWidth="1"/>
    <col min="13" max="13" width="12.42578125" style="344" customWidth="1"/>
    <col min="14" max="14" width="12.7109375" style="344" hidden="1" customWidth="1"/>
    <col min="15" max="15" width="12.7109375" style="344" customWidth="1"/>
    <col min="16" max="16" width="12.7109375" style="580" customWidth="1"/>
    <col min="17" max="17" width="12.7109375" style="957" customWidth="1"/>
    <col min="18" max="18" width="13.7109375" style="958" customWidth="1"/>
    <col min="19" max="19" width="12.7109375" style="344" bestFit="1" customWidth="1"/>
    <col min="20" max="21" width="13.42578125" style="344" bestFit="1" customWidth="1"/>
    <col min="22" max="16384" width="9.140625" style="344"/>
  </cols>
  <sheetData>
    <row r="1" spans="1:21" ht="33.75" customHeight="1" x14ac:dyDescent="0.2">
      <c r="B1" s="616"/>
      <c r="C1" s="980"/>
      <c r="D1" s="980"/>
      <c r="E1" s="980"/>
      <c r="F1" s="980"/>
      <c r="G1" s="980"/>
      <c r="H1" s="980"/>
      <c r="I1" s="980"/>
      <c r="J1" s="980"/>
      <c r="K1" s="359"/>
      <c r="L1" s="1086" t="s">
        <v>677</v>
      </c>
      <c r="M1" s="1086"/>
      <c r="N1" s="1086"/>
      <c r="O1" s="1086"/>
      <c r="P1" s="460"/>
    </row>
    <row r="2" spans="1:21" ht="30" customHeight="1" x14ac:dyDescent="0.2">
      <c r="A2" s="1087" t="s">
        <v>676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460"/>
    </row>
    <row r="3" spans="1:21" ht="12.75" customHeight="1" x14ac:dyDescent="0.2">
      <c r="A3" s="701"/>
      <c r="B3" s="981" t="s">
        <v>37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798" t="s">
        <v>339</v>
      </c>
      <c r="N3" s="336"/>
      <c r="Q3" s="959"/>
      <c r="R3" s="960"/>
    </row>
    <row r="4" spans="1:21" ht="52.5" x14ac:dyDescent="0.2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  <c r="P4" s="672"/>
      <c r="Q4" s="1003" t="s">
        <v>682</v>
      </c>
      <c r="R4" s="962" t="s">
        <v>364</v>
      </c>
      <c r="S4" s="982" t="s">
        <v>467</v>
      </c>
      <c r="T4" s="961" t="s">
        <v>512</v>
      </c>
      <c r="U4" s="962" t="s">
        <v>513</v>
      </c>
    </row>
    <row r="5" spans="1:21" s="984" customFormat="1" ht="12.75" customHeight="1" x14ac:dyDescent="0.2">
      <c r="A5" s="628" t="s">
        <v>11</v>
      </c>
      <c r="B5" s="629" t="s">
        <v>69</v>
      </c>
      <c r="C5" s="341">
        <f>+'2. önkorm.bevkiad'!C5+'3. INT összes'!C5</f>
        <v>1128920000</v>
      </c>
      <c r="D5" s="341">
        <f>+'2. önkorm.bevkiad'!D5+'3. INT összes'!D5</f>
        <v>1128920000</v>
      </c>
      <c r="E5" s="341">
        <f>+'2. önkorm.bevkiad'!E5+'3. INT összes'!E5</f>
        <v>1128920000</v>
      </c>
      <c r="F5" s="341">
        <f>+'2. önkorm.bevkiad'!F5+'3. INT összes'!F5</f>
        <v>0</v>
      </c>
      <c r="G5" s="341">
        <f>+'2. önkorm.bevkiad'!G5+'3. INT összes'!G5</f>
        <v>0</v>
      </c>
      <c r="H5" s="341">
        <f>+'2. önkorm.bevkiad'!H5+'3. INT összes'!H5</f>
        <v>0</v>
      </c>
      <c r="I5" s="341">
        <f>+'2. önkorm.bevkiad'!I5+'3. INT összes'!I5</f>
        <v>0</v>
      </c>
      <c r="J5" s="341">
        <f>+'2. önkorm.bevkiad'!J5+'3. INT összes'!J5</f>
        <v>0</v>
      </c>
      <c r="K5" s="341">
        <f>+'2. önkorm.bevkiad'!K5+'3. INT összes'!K5</f>
        <v>0</v>
      </c>
      <c r="L5" s="341">
        <f>+'2. önkorm.bevkiad'!L5+'3. INT összes'!L5</f>
        <v>0</v>
      </c>
      <c r="M5" s="341">
        <f>+'2. önkorm.bevkiad'!M5+'3. INT összes'!M5</f>
        <v>1128920000</v>
      </c>
      <c r="N5" s="341">
        <f>+'2. önkorm.bevkiad'!N5+'3. INT összes'!N5</f>
        <v>1128920000</v>
      </c>
      <c r="O5" s="341">
        <f>+'2. önkorm.bevkiad'!O5+'3. INT összes'!O5</f>
        <v>1128920000</v>
      </c>
      <c r="P5" s="708"/>
      <c r="Q5" s="1004">
        <v>968787014</v>
      </c>
      <c r="R5" s="963">
        <v>860245052</v>
      </c>
      <c r="S5" s="983">
        <f>+M5/M$23</f>
        <v>0.30693696797107356</v>
      </c>
      <c r="T5" s="983">
        <f>+Q5/$Q$23</f>
        <v>0.35460744206693462</v>
      </c>
      <c r="U5" s="983">
        <f>+R5/$R$23</f>
        <v>0.33882587367097694</v>
      </c>
    </row>
    <row r="6" spans="1:21" s="984" customFormat="1" ht="12.75" customHeight="1" x14ac:dyDescent="0.2">
      <c r="A6" s="628" t="s">
        <v>12</v>
      </c>
      <c r="B6" s="629" t="s">
        <v>156</v>
      </c>
      <c r="C6" s="341">
        <f>+'2. önkorm.bevkiad'!C6+'3. INT összes'!C6</f>
        <v>239517000</v>
      </c>
      <c r="D6" s="341">
        <f>+'2. önkorm.bevkiad'!D6+'3. INT összes'!D6</f>
        <v>239517000</v>
      </c>
      <c r="E6" s="341">
        <f>+'2. önkorm.bevkiad'!E6+'3. INT összes'!E6</f>
        <v>239517000</v>
      </c>
      <c r="F6" s="341">
        <f>+'2. önkorm.bevkiad'!F6+'3. INT összes'!F6</f>
        <v>0</v>
      </c>
      <c r="G6" s="341">
        <f>+'2. önkorm.bevkiad'!G6+'3. INT összes'!G6</f>
        <v>0</v>
      </c>
      <c r="H6" s="341">
        <f>+'2. önkorm.bevkiad'!H6+'3. INT összes'!H6</f>
        <v>0</v>
      </c>
      <c r="I6" s="341">
        <f>+'2. önkorm.bevkiad'!I6+'3. INT összes'!I6</f>
        <v>0</v>
      </c>
      <c r="J6" s="341">
        <f>+'2. önkorm.bevkiad'!J6+'3. INT összes'!J6</f>
        <v>0</v>
      </c>
      <c r="K6" s="341">
        <f>+'2. önkorm.bevkiad'!K6+'3. INT összes'!K6</f>
        <v>0</v>
      </c>
      <c r="L6" s="341">
        <f>+'2. önkorm.bevkiad'!L6+'3. INT összes'!L6</f>
        <v>0</v>
      </c>
      <c r="M6" s="341">
        <f>+'2. önkorm.bevkiad'!M6+'3. INT összes'!M6</f>
        <v>239517000</v>
      </c>
      <c r="N6" s="341">
        <f>+'2. önkorm.bevkiad'!N6+'3. INT összes'!N6</f>
        <v>239517000</v>
      </c>
      <c r="O6" s="341">
        <f>+'2. önkorm.bevkiad'!O6+'3. INT összes'!O6</f>
        <v>239517000</v>
      </c>
      <c r="P6" s="708"/>
      <c r="Q6" s="1005">
        <v>88831622</v>
      </c>
      <c r="R6" s="964">
        <v>101250673</v>
      </c>
      <c r="S6" s="983">
        <f t="shared" ref="S6:S23" si="0">+M6/M$23</f>
        <v>6.5121197035686876E-2</v>
      </c>
      <c r="T6" s="983">
        <f t="shared" ref="T6:T23" si="1">+Q6/$Q$23</f>
        <v>3.2515252369058736E-2</v>
      </c>
      <c r="U6" s="983">
        <f t="shared" ref="U6:U23" si="2">+R6/$R$23</f>
        <v>3.9879738522459296E-2</v>
      </c>
    </row>
    <row r="7" spans="1:21" ht="12.75" customHeight="1" x14ac:dyDescent="0.2">
      <c r="A7" s="633" t="s">
        <v>49</v>
      </c>
      <c r="B7" s="634" t="s">
        <v>70</v>
      </c>
      <c r="C7" s="342">
        <v>239517000</v>
      </c>
      <c r="D7" s="342">
        <f>+'2. önkorm.bevkiad'!D7+'3. INT összes'!D7</f>
        <v>4469000</v>
      </c>
      <c r="E7" s="342">
        <f>+'2. önkorm.bevkiad'!E7+'3. INT összes'!E7</f>
        <v>4469000</v>
      </c>
      <c r="F7" s="342">
        <f>+'2. önkorm.bevkiad'!F7+'3. INT összes'!F7</f>
        <v>0</v>
      </c>
      <c r="G7" s="342">
        <f>+'2. önkorm.bevkiad'!G7+'3. INT összes'!G7</f>
        <v>0</v>
      </c>
      <c r="H7" s="342">
        <f>+'2. önkorm.bevkiad'!H7+'3. INT összes'!H7</f>
        <v>0</v>
      </c>
      <c r="I7" s="342">
        <f>+'2. önkorm.bevkiad'!I7+'3. INT összes'!I7</f>
        <v>0</v>
      </c>
      <c r="J7" s="342">
        <f>+'2. önkorm.bevkiad'!J7+'3. INT összes'!J7</f>
        <v>0</v>
      </c>
      <c r="K7" s="342">
        <f>+'2. önkorm.bevkiad'!K7+'3. INT összes'!K7</f>
        <v>0</v>
      </c>
      <c r="L7" s="342">
        <f>+'2. önkorm.bevkiad'!L7+'3. INT összes'!L7</f>
        <v>0</v>
      </c>
      <c r="M7" s="341">
        <v>239517000</v>
      </c>
      <c r="N7" s="341">
        <f>+'2. önkorm.bevkiad'!N7+'3. INT összes'!N7</f>
        <v>4469000</v>
      </c>
      <c r="O7" s="341">
        <f>+'2. önkorm.bevkiad'!O7+'3. INT összes'!O7</f>
        <v>4469000</v>
      </c>
      <c r="P7" s="708"/>
      <c r="Q7" s="1005">
        <v>88831622</v>
      </c>
      <c r="R7" s="964">
        <v>101250673</v>
      </c>
      <c r="S7" s="983">
        <f t="shared" si="0"/>
        <v>6.5121197035686876E-2</v>
      </c>
      <c r="T7" s="983">
        <f t="shared" si="1"/>
        <v>3.2515252369058736E-2</v>
      </c>
      <c r="U7" s="983">
        <f t="shared" si="2"/>
        <v>3.9879738522459296E-2</v>
      </c>
    </row>
    <row r="8" spans="1:21" ht="12.75" customHeight="1" x14ac:dyDescent="0.2">
      <c r="A8" s="633" t="s">
        <v>71</v>
      </c>
      <c r="B8" s="634" t="s">
        <v>363</v>
      </c>
      <c r="C8" s="342">
        <f>+'2. önkorm.bevkiad'!C8+'3. INT összes'!C8</f>
        <v>239517000</v>
      </c>
      <c r="D8" s="342">
        <f>+'2. önkorm.bevkiad'!D8+'3. INT összes'!D8</f>
        <v>239517000</v>
      </c>
      <c r="E8" s="342">
        <f>+'2. önkorm.bevkiad'!E8+'3. INT összes'!E8</f>
        <v>239517000</v>
      </c>
      <c r="F8" s="342">
        <f>+'2. önkorm.bevkiad'!F8+'3. INT összes'!F8</f>
        <v>0</v>
      </c>
      <c r="G8" s="342">
        <f>+'2. önkorm.bevkiad'!G8+'3. INT összes'!G8</f>
        <v>0</v>
      </c>
      <c r="H8" s="342">
        <f>+'2. önkorm.bevkiad'!H8+'3. INT összes'!H8</f>
        <v>0</v>
      </c>
      <c r="I8" s="342">
        <f>+'2. önkorm.bevkiad'!I8+'3. INT összes'!I8</f>
        <v>0</v>
      </c>
      <c r="J8" s="342">
        <f>+'2. önkorm.bevkiad'!J8+'3. INT összes'!J8</f>
        <v>0</v>
      </c>
      <c r="K8" s="342">
        <f>+'2. önkorm.bevkiad'!K8+'3. INT összes'!K8</f>
        <v>0</v>
      </c>
      <c r="L8" s="342">
        <f>+'2. önkorm.bevkiad'!L8+'3. INT összes'!L8</f>
        <v>0</v>
      </c>
      <c r="M8" s="341">
        <f>+'2. önkorm.bevkiad'!M8+'3. INT összes'!M8</f>
        <v>239517000</v>
      </c>
      <c r="N8" s="341">
        <f>+'2. önkorm.bevkiad'!N8+'3. INT összes'!N8</f>
        <v>239517000</v>
      </c>
      <c r="O8" s="341">
        <f>+'2. önkorm.bevkiad'!O8+'3. INT összes'!O8</f>
        <v>4469000</v>
      </c>
      <c r="P8" s="708"/>
      <c r="Q8" s="1005">
        <v>53867600</v>
      </c>
      <c r="R8" s="964">
        <v>43717083</v>
      </c>
      <c r="S8" s="983">
        <f t="shared" si="0"/>
        <v>6.5121197035686876E-2</v>
      </c>
      <c r="T8" s="983">
        <f t="shared" si="1"/>
        <v>1.9717287257408272E-2</v>
      </c>
      <c r="U8" s="983">
        <f t="shared" si="2"/>
        <v>1.7218906179563374E-2</v>
      </c>
    </row>
    <row r="9" spans="1:21" ht="12" customHeight="1" x14ac:dyDescent="0.2">
      <c r="A9" s="633" t="s">
        <v>72</v>
      </c>
      <c r="B9" s="634" t="s">
        <v>74</v>
      </c>
      <c r="C9" s="342">
        <f>+'2. önkorm.bevkiad'!C9+'3. INT összes'!C9</f>
        <v>0</v>
      </c>
      <c r="D9" s="342">
        <f>+'2. önkorm.bevkiad'!D9+'3. INT összes'!D9</f>
        <v>0</v>
      </c>
      <c r="E9" s="342">
        <f>+'2. önkorm.bevkiad'!E9+'3. INT összes'!E9</f>
        <v>0</v>
      </c>
      <c r="F9" s="342">
        <f>+'2. önkorm.bevkiad'!F9+'3. INT összes'!F9</f>
        <v>0</v>
      </c>
      <c r="G9" s="342">
        <f>+'2. önkorm.bevkiad'!G9+'3. INT összes'!G9</f>
        <v>0</v>
      </c>
      <c r="H9" s="342">
        <f>+'2. önkorm.bevkiad'!H9+'3. INT összes'!H9</f>
        <v>0</v>
      </c>
      <c r="I9" s="342">
        <f>+'2. önkorm.bevkiad'!I9+'3. INT összes'!I9</f>
        <v>0</v>
      </c>
      <c r="J9" s="342">
        <f>+'2. önkorm.bevkiad'!J9+'3. INT összes'!J9</f>
        <v>0</v>
      </c>
      <c r="K9" s="342">
        <f>+'2. önkorm.bevkiad'!K9+'3. INT összes'!K9</f>
        <v>0</v>
      </c>
      <c r="L9" s="342">
        <f>+'2. önkorm.bevkiad'!L9+'3. INT összes'!L9</f>
        <v>0</v>
      </c>
      <c r="M9" s="341">
        <f>+'2. önkorm.bevkiad'!M9+'3. INT összes'!M9</f>
        <v>0</v>
      </c>
      <c r="N9" s="341">
        <f>+'2. önkorm.bevkiad'!N9+'3. INT összes'!N9</f>
        <v>0</v>
      </c>
      <c r="O9" s="341">
        <f>+'2. önkorm.bevkiad'!O9+'3. INT összes'!O9</f>
        <v>0</v>
      </c>
      <c r="P9" s="708"/>
      <c r="Q9" s="1005">
        <v>6914705</v>
      </c>
      <c r="R9" s="964">
        <v>36052924</v>
      </c>
      <c r="S9" s="983">
        <f t="shared" si="0"/>
        <v>0</v>
      </c>
      <c r="T9" s="983">
        <f t="shared" si="1"/>
        <v>2.531006111006194E-3</v>
      </c>
      <c r="U9" s="983">
        <f t="shared" si="2"/>
        <v>1.4200213583667708E-2</v>
      </c>
    </row>
    <row r="10" spans="1:21" ht="12" customHeight="1" x14ac:dyDescent="0.2">
      <c r="A10" s="633" t="s">
        <v>73</v>
      </c>
      <c r="B10" s="634" t="s">
        <v>284</v>
      </c>
      <c r="C10" s="342">
        <f>+'2. önkorm.bevkiad'!C10+'3. INT összes'!C10</f>
        <v>0</v>
      </c>
      <c r="D10" s="342">
        <f>+'2. önkorm.bevkiad'!D10+'3. INT összes'!D10</f>
        <v>0</v>
      </c>
      <c r="E10" s="342">
        <f>+'2. önkorm.bevkiad'!E10+'3. INT összes'!E10</f>
        <v>0</v>
      </c>
      <c r="F10" s="342">
        <f>+'2. önkorm.bevkiad'!F10+'3. INT összes'!F10</f>
        <v>0</v>
      </c>
      <c r="G10" s="342">
        <f>+'2. önkorm.bevkiad'!G10+'3. INT összes'!G10</f>
        <v>0</v>
      </c>
      <c r="H10" s="342">
        <f>+'2. önkorm.bevkiad'!H10+'3. INT összes'!H10</f>
        <v>0</v>
      </c>
      <c r="I10" s="342">
        <f>+'2. önkorm.bevkiad'!I10+'3. INT összes'!I10</f>
        <v>0</v>
      </c>
      <c r="J10" s="342">
        <f>+'2. önkorm.bevkiad'!J10+'3. INT összes'!J10</f>
        <v>0</v>
      </c>
      <c r="K10" s="342">
        <f>+'2. önkorm.bevkiad'!K10+'3. INT összes'!K10</f>
        <v>0</v>
      </c>
      <c r="L10" s="342">
        <f>+'2. önkorm.bevkiad'!L10+'3. INT összes'!L10</f>
        <v>0</v>
      </c>
      <c r="M10" s="341">
        <f>+'2. önkorm.bevkiad'!M10+'3. INT összes'!M10</f>
        <v>0</v>
      </c>
      <c r="N10" s="341">
        <f>+'2. önkorm.bevkiad'!N10+'3. INT összes'!N10</f>
        <v>0</v>
      </c>
      <c r="O10" s="341">
        <f>+'2. önkorm.bevkiad'!O10+'3. INT összes'!O10</f>
        <v>0</v>
      </c>
      <c r="P10" s="708"/>
      <c r="Q10" s="1005">
        <v>28049317</v>
      </c>
      <c r="R10" s="964">
        <v>21480666</v>
      </c>
      <c r="S10" s="983">
        <f t="shared" si="0"/>
        <v>0</v>
      </c>
      <c r="T10" s="983">
        <f t="shared" si="1"/>
        <v>1.0266959000644268E-2</v>
      </c>
      <c r="U10" s="983">
        <f t="shared" si="2"/>
        <v>8.4606187592282129E-3</v>
      </c>
    </row>
    <row r="11" spans="1:21" s="984" customFormat="1" ht="12" customHeight="1" x14ac:dyDescent="0.2">
      <c r="A11" s="628" t="s">
        <v>13</v>
      </c>
      <c r="B11" s="636" t="s">
        <v>138</v>
      </c>
      <c r="C11" s="341">
        <f>+'2. önkorm.bevkiad'!C11+'3. INT összes'!C11</f>
        <v>266257000</v>
      </c>
      <c r="D11" s="341">
        <f>+'2. önkorm.bevkiad'!D11+'3. INT összes'!D11</f>
        <v>266257000</v>
      </c>
      <c r="E11" s="341">
        <f>+'2. önkorm.bevkiad'!E11+'3. INT összes'!E11</f>
        <v>266257000</v>
      </c>
      <c r="F11" s="341">
        <f>+'2. önkorm.bevkiad'!F11+'3. INT összes'!F11</f>
        <v>0</v>
      </c>
      <c r="G11" s="341">
        <f>+'2. önkorm.bevkiad'!G11+'3. INT összes'!G11</f>
        <v>0</v>
      </c>
      <c r="H11" s="341">
        <f>+'2. önkorm.bevkiad'!H11+'3. INT összes'!H11</f>
        <v>0</v>
      </c>
      <c r="I11" s="341">
        <f>+'2. önkorm.bevkiad'!I11+'3. INT összes'!I11</f>
        <v>0</v>
      </c>
      <c r="J11" s="341">
        <f>+'2. önkorm.bevkiad'!J11+'3. INT összes'!J11</f>
        <v>0</v>
      </c>
      <c r="K11" s="341">
        <f>+'2. önkorm.bevkiad'!K11+'3. INT összes'!K11</f>
        <v>0</v>
      </c>
      <c r="L11" s="341">
        <f>+'2. önkorm.bevkiad'!L11+'3. INT összes'!L11</f>
        <v>0</v>
      </c>
      <c r="M11" s="341">
        <f>+'2. önkorm.bevkiad'!M11+'3. INT összes'!M11</f>
        <v>266257000</v>
      </c>
      <c r="N11" s="341">
        <f>+'2. önkorm.bevkiad'!N11+'3. INT összes'!N11</f>
        <v>266257000</v>
      </c>
      <c r="O11" s="341">
        <f>+'2. önkorm.bevkiad'!O11+'3. INT összes'!O11</f>
        <v>266257000</v>
      </c>
      <c r="P11" s="708"/>
      <c r="Q11" s="1005">
        <v>496009006</v>
      </c>
      <c r="R11" s="964">
        <v>171771961</v>
      </c>
      <c r="S11" s="983">
        <f t="shared" si="0"/>
        <v>7.2391415052505168E-2</v>
      </c>
      <c r="T11" s="983">
        <f t="shared" si="1"/>
        <v>0.18155537008449499</v>
      </c>
      <c r="U11" s="983">
        <f t="shared" si="2"/>
        <v>6.7656052915026799E-2</v>
      </c>
    </row>
    <row r="12" spans="1:21" s="984" customFormat="1" ht="12.75" customHeight="1" x14ac:dyDescent="0.2">
      <c r="A12" s="628" t="s">
        <v>14</v>
      </c>
      <c r="B12" s="636" t="s">
        <v>75</v>
      </c>
      <c r="C12" s="341">
        <f>+'2. önkorm.bevkiad'!C12+'3. INT összes'!C12</f>
        <v>1065000000</v>
      </c>
      <c r="D12" s="341">
        <f>+'2. önkorm.bevkiad'!D12+'3. INT összes'!D12</f>
        <v>1065000000</v>
      </c>
      <c r="E12" s="341">
        <f>+'2. önkorm.bevkiad'!E12+'3. INT összes'!E12</f>
        <v>1065000000</v>
      </c>
      <c r="F12" s="341">
        <f>+'2. önkorm.bevkiad'!F12+'3. INT összes'!F12</f>
        <v>0</v>
      </c>
      <c r="G12" s="341">
        <f>+'2. önkorm.bevkiad'!G12+'3. INT összes'!G12</f>
        <v>0</v>
      </c>
      <c r="H12" s="341">
        <f>+'2. önkorm.bevkiad'!H12+'3. INT összes'!H12</f>
        <v>0</v>
      </c>
      <c r="I12" s="341">
        <f>+'2. önkorm.bevkiad'!I12+'3. INT összes'!I12</f>
        <v>0</v>
      </c>
      <c r="J12" s="341">
        <f>+'2. önkorm.bevkiad'!J12+'3. INT összes'!J12</f>
        <v>0</v>
      </c>
      <c r="K12" s="341">
        <f>+'2. önkorm.bevkiad'!K12+'3. INT összes'!K12</f>
        <v>0</v>
      </c>
      <c r="L12" s="341">
        <f>+'2. önkorm.bevkiad'!L12+'3. INT összes'!L12</f>
        <v>0</v>
      </c>
      <c r="M12" s="341">
        <f>+'2. önkorm.bevkiad'!M12+'3. INT összes'!M12</f>
        <v>1065000000</v>
      </c>
      <c r="N12" s="341">
        <f>+'2. önkorm.bevkiad'!N12+'3. INT összes'!N12</f>
        <v>1065000000</v>
      </c>
      <c r="O12" s="341">
        <f>+'2. önkorm.bevkiad'!O12+'3. INT összes'!O12</f>
        <v>1065000000</v>
      </c>
      <c r="P12" s="708"/>
      <c r="Q12" s="1005">
        <v>1016943637</v>
      </c>
      <c r="R12" s="964">
        <v>1046617391</v>
      </c>
      <c r="S12" s="983">
        <f t="shared" si="0"/>
        <v>0.28955804741628577</v>
      </c>
      <c r="T12" s="983">
        <f t="shared" si="1"/>
        <v>0.37223432666988177</v>
      </c>
      <c r="U12" s="983">
        <f t="shared" si="2"/>
        <v>0.41223259707259963</v>
      </c>
    </row>
    <row r="13" spans="1:21" ht="12.75" customHeight="1" x14ac:dyDescent="0.2">
      <c r="A13" s="633" t="s">
        <v>430</v>
      </c>
      <c r="B13" s="634" t="s">
        <v>418</v>
      </c>
      <c r="C13" s="342">
        <f>+'2. önkorm.bevkiad'!C13+'3. INT összes'!C13</f>
        <v>305000000</v>
      </c>
      <c r="D13" s="342">
        <f>+'2. önkorm.bevkiad'!D13+'3. INT összes'!D13</f>
        <v>305000000</v>
      </c>
      <c r="E13" s="342">
        <f>+'2. önkorm.bevkiad'!E13+'3. INT összes'!E13</f>
        <v>305000000</v>
      </c>
      <c r="F13" s="342">
        <f>+'2. önkorm.bevkiad'!F13+'3. INT összes'!F13</f>
        <v>0</v>
      </c>
      <c r="G13" s="342">
        <f>+'2. önkorm.bevkiad'!G13+'3. INT összes'!G13</f>
        <v>0</v>
      </c>
      <c r="H13" s="342">
        <f>+'2. önkorm.bevkiad'!H13+'3. INT összes'!H13</f>
        <v>0</v>
      </c>
      <c r="I13" s="342">
        <f>+'2. önkorm.bevkiad'!I13+'3. INT összes'!I13</f>
        <v>0</v>
      </c>
      <c r="J13" s="342">
        <f>+'2. önkorm.bevkiad'!J13+'3. INT összes'!J13</f>
        <v>0</v>
      </c>
      <c r="K13" s="342">
        <f>+'2. önkorm.bevkiad'!K13+'3. INT összes'!K13</f>
        <v>0</v>
      </c>
      <c r="L13" s="342">
        <f>+'2. önkorm.bevkiad'!L13+'3. INT összes'!L13</f>
        <v>0</v>
      </c>
      <c r="M13" s="341">
        <f>+'2. önkorm.bevkiad'!M13+'3. INT összes'!M13</f>
        <v>305000000</v>
      </c>
      <c r="N13" s="341">
        <f>+'2. önkorm.bevkiad'!N13+'3. INT összes'!N13</f>
        <v>305000000</v>
      </c>
      <c r="O13" s="341">
        <f>+'2. önkorm.bevkiad'!O13+'3. INT összes'!O13</f>
        <v>305000000</v>
      </c>
      <c r="P13" s="708"/>
      <c r="Q13" s="1005">
        <v>303965473</v>
      </c>
      <c r="R13" s="964">
        <v>321202737</v>
      </c>
      <c r="S13" s="983">
        <f t="shared" si="0"/>
        <v>8.2925074612175742E-2</v>
      </c>
      <c r="T13" s="983">
        <f t="shared" si="1"/>
        <v>0.11126121355833521</v>
      </c>
      <c r="U13" s="983">
        <f t="shared" si="2"/>
        <v>0.12651255329688782</v>
      </c>
    </row>
    <row r="14" spans="1:21" ht="12.75" customHeight="1" x14ac:dyDescent="0.2">
      <c r="A14" s="633" t="s">
        <v>431</v>
      </c>
      <c r="B14" s="634" t="s">
        <v>419</v>
      </c>
      <c r="C14" s="342">
        <f>+'2. önkorm.bevkiad'!C14+'3. INT összes'!C14</f>
        <v>90000000</v>
      </c>
      <c r="D14" s="965">
        <f>+'2. önkorm.bevkiad'!D14+'3. INT összes'!D14</f>
        <v>90000000</v>
      </c>
      <c r="E14" s="965">
        <f>+'2. önkorm.bevkiad'!E14+'3. INT összes'!E14</f>
        <v>90000000</v>
      </c>
      <c r="F14" s="965">
        <f>+'2. önkorm.bevkiad'!F14+'3. INT összes'!F14</f>
        <v>0</v>
      </c>
      <c r="G14" s="342">
        <f>+'2. önkorm.bevkiad'!G14+'3. INT összes'!G14</f>
        <v>0</v>
      </c>
      <c r="H14" s="342">
        <f>+'2. önkorm.bevkiad'!H14+'3. INT összes'!H14</f>
        <v>0</v>
      </c>
      <c r="I14" s="342">
        <f>+'2. önkorm.bevkiad'!I14+'3. INT összes'!I14</f>
        <v>0</v>
      </c>
      <c r="J14" s="342">
        <f>+'2. önkorm.bevkiad'!J14+'3. INT összes'!J14</f>
        <v>0</v>
      </c>
      <c r="K14" s="342">
        <f>+'2. önkorm.bevkiad'!K14+'3. INT összes'!K14</f>
        <v>0</v>
      </c>
      <c r="L14" s="342">
        <f>+'2. önkorm.bevkiad'!L14+'3. INT összes'!L14</f>
        <v>0</v>
      </c>
      <c r="M14" s="341">
        <f>+'2. önkorm.bevkiad'!M14+'3. INT összes'!M14</f>
        <v>90000000</v>
      </c>
      <c r="N14" s="341">
        <f>+'2. önkorm.bevkiad'!N14+'3. INT összes'!N14</f>
        <v>90000000</v>
      </c>
      <c r="O14" s="341">
        <f>+'2. önkorm.bevkiad'!O14+'3. INT összes'!O14</f>
        <v>90000000</v>
      </c>
      <c r="P14" s="708"/>
      <c r="Q14" s="1005">
        <v>92163709</v>
      </c>
      <c r="R14" s="964">
        <v>92076263</v>
      </c>
      <c r="S14" s="983">
        <f t="shared" si="0"/>
        <v>2.4469694147855135E-2</v>
      </c>
      <c r="T14" s="983">
        <f t="shared" si="1"/>
        <v>3.3734904192152311E-2</v>
      </c>
      <c r="U14" s="983">
        <f t="shared" si="2"/>
        <v>3.626620133739944E-2</v>
      </c>
    </row>
    <row r="15" spans="1:21" ht="12.75" customHeight="1" x14ac:dyDescent="0.2">
      <c r="A15" s="633" t="s">
        <v>432</v>
      </c>
      <c r="B15" s="634" t="s">
        <v>417</v>
      </c>
      <c r="C15" s="342">
        <f>+'2. önkorm.bevkiad'!C15+'3. INT összes'!C15</f>
        <v>662000000</v>
      </c>
      <c r="D15" s="342">
        <f>+'2. önkorm.bevkiad'!D15+'3. INT összes'!D15</f>
        <v>662000000</v>
      </c>
      <c r="E15" s="342">
        <f>+'2. önkorm.bevkiad'!E15+'3. INT összes'!E15</f>
        <v>662000000</v>
      </c>
      <c r="F15" s="342">
        <f>+'2. önkorm.bevkiad'!F15+'3. INT összes'!F15</f>
        <v>0</v>
      </c>
      <c r="G15" s="342">
        <f>+'2. önkorm.bevkiad'!G15+'3. INT összes'!G15</f>
        <v>0</v>
      </c>
      <c r="H15" s="342">
        <f>+'2. önkorm.bevkiad'!H15+'3. INT összes'!H15</f>
        <v>0</v>
      </c>
      <c r="I15" s="342">
        <f>+'2. önkorm.bevkiad'!I15+'3. INT összes'!I15</f>
        <v>0</v>
      </c>
      <c r="J15" s="342">
        <f>+'2. önkorm.bevkiad'!J15+'3. INT összes'!J15</f>
        <v>0</v>
      </c>
      <c r="K15" s="342">
        <f>+'2. önkorm.bevkiad'!K15+'3. INT összes'!K15</f>
        <v>0</v>
      </c>
      <c r="L15" s="342">
        <f>+'2. önkorm.bevkiad'!L15+'3. INT összes'!L15</f>
        <v>0</v>
      </c>
      <c r="M15" s="341">
        <f>+'2. önkorm.bevkiad'!M15+'3. INT összes'!M15</f>
        <v>662000000</v>
      </c>
      <c r="N15" s="341">
        <f>+'2. önkorm.bevkiad'!N15+'3. INT összes'!N15</f>
        <v>662000000</v>
      </c>
      <c r="O15" s="341">
        <f>+'2. önkorm.bevkiad'!O15+'3. INT összes'!O15</f>
        <v>662000000</v>
      </c>
      <c r="P15" s="708"/>
      <c r="Q15" s="1005">
        <v>608933564</v>
      </c>
      <c r="R15" s="964">
        <v>576869527</v>
      </c>
      <c r="S15" s="983">
        <f t="shared" si="0"/>
        <v>0.17998819473200112</v>
      </c>
      <c r="T15" s="983">
        <f t="shared" si="1"/>
        <v>0.22288941779595534</v>
      </c>
      <c r="U15" s="983">
        <f t="shared" si="2"/>
        <v>0.22721237515463005</v>
      </c>
    </row>
    <row r="16" spans="1:21" ht="12.75" customHeight="1" x14ac:dyDescent="0.2">
      <c r="A16" s="633" t="s">
        <v>433</v>
      </c>
      <c r="B16" s="634" t="s">
        <v>427</v>
      </c>
      <c r="C16" s="342">
        <f>+'2. önkorm.bevkiad'!C16+'3. INT összes'!C16</f>
        <v>0</v>
      </c>
      <c r="D16" s="342">
        <f>+'2. önkorm.bevkiad'!D16+'3. INT összes'!D16</f>
        <v>0</v>
      </c>
      <c r="E16" s="342">
        <f>+'2. önkorm.bevkiad'!E16+'3. INT összes'!E16</f>
        <v>0</v>
      </c>
      <c r="F16" s="342">
        <f>+'2. önkorm.bevkiad'!F16+'3. INT összes'!F16</f>
        <v>0</v>
      </c>
      <c r="G16" s="342">
        <f>+'2. önkorm.bevkiad'!G16+'3. INT összes'!G16</f>
        <v>0</v>
      </c>
      <c r="H16" s="342">
        <f>+'2. önkorm.bevkiad'!H16+'3. INT összes'!H16</f>
        <v>0</v>
      </c>
      <c r="I16" s="342">
        <f>+'2. önkorm.bevkiad'!I16+'3. INT összes'!I16</f>
        <v>0</v>
      </c>
      <c r="J16" s="342">
        <f>+'2. önkorm.bevkiad'!J16+'3. INT összes'!J16</f>
        <v>0</v>
      </c>
      <c r="K16" s="342">
        <f>+'2. önkorm.bevkiad'!K16+'3. INT összes'!K16</f>
        <v>0</v>
      </c>
      <c r="L16" s="342">
        <f>+'2. önkorm.bevkiad'!L16+'3. INT összes'!L16</f>
        <v>0</v>
      </c>
      <c r="M16" s="341">
        <f>+'2. önkorm.bevkiad'!M16+'3. INT összes'!M16</f>
        <v>0</v>
      </c>
      <c r="N16" s="341">
        <f>+'2. önkorm.bevkiad'!N16+'3. INT összes'!N16</f>
        <v>0</v>
      </c>
      <c r="O16" s="341">
        <f>+'2. önkorm.bevkiad'!O16+'3. INT összes'!O16</f>
        <v>0</v>
      </c>
      <c r="P16" s="708"/>
      <c r="Q16" s="1005">
        <v>419013</v>
      </c>
      <c r="R16" s="964">
        <v>2348580</v>
      </c>
      <c r="S16" s="983">
        <f t="shared" si="0"/>
        <v>0</v>
      </c>
      <c r="T16" s="983">
        <f t="shared" si="1"/>
        <v>1.5337233672167337E-4</v>
      </c>
      <c r="U16" s="983">
        <f t="shared" si="2"/>
        <v>9.2503835800753094E-4</v>
      </c>
    </row>
    <row r="17" spans="1:21" ht="12.75" customHeight="1" x14ac:dyDescent="0.2">
      <c r="A17" s="633" t="s">
        <v>434</v>
      </c>
      <c r="B17" s="634" t="s">
        <v>426</v>
      </c>
      <c r="C17" s="342">
        <f>+'2. önkorm.bevkiad'!C17+'3. INT összes'!C17</f>
        <v>0</v>
      </c>
      <c r="D17" s="342">
        <f>+'2. önkorm.bevkiad'!D17+'3. INT összes'!D17</f>
        <v>0</v>
      </c>
      <c r="E17" s="342">
        <f>+'2. önkorm.bevkiad'!E17+'3. INT összes'!E17</f>
        <v>0</v>
      </c>
      <c r="F17" s="342">
        <f>+'2. önkorm.bevkiad'!F17+'3. INT összes'!F17</f>
        <v>0</v>
      </c>
      <c r="G17" s="342">
        <f>+'2. önkorm.bevkiad'!G17+'3. INT összes'!G17</f>
        <v>0</v>
      </c>
      <c r="H17" s="342">
        <f>+'2. önkorm.bevkiad'!H17+'3. INT összes'!H17</f>
        <v>0</v>
      </c>
      <c r="I17" s="342">
        <f>+'2. önkorm.bevkiad'!I17+'3. INT összes'!I17</f>
        <v>0</v>
      </c>
      <c r="J17" s="342">
        <f>+'2. önkorm.bevkiad'!J17+'3. INT összes'!J17</f>
        <v>0</v>
      </c>
      <c r="K17" s="342">
        <f>+'2. önkorm.bevkiad'!K17+'3. INT összes'!K17</f>
        <v>0</v>
      </c>
      <c r="L17" s="342">
        <f>+'2. önkorm.bevkiad'!L17+'3. INT összes'!L17</f>
        <v>0</v>
      </c>
      <c r="M17" s="341">
        <f>+'2. önkorm.bevkiad'!M17+'3. INT összes'!M17</f>
        <v>0</v>
      </c>
      <c r="N17" s="341">
        <f>+'2. önkorm.bevkiad'!N17+'3. INT összes'!N17</f>
        <v>0</v>
      </c>
      <c r="O17" s="341">
        <f>+'2. önkorm.bevkiad'!O17+'3. INT összes'!O17</f>
        <v>0</v>
      </c>
      <c r="P17" s="708"/>
      <c r="Q17" s="1005">
        <v>0</v>
      </c>
      <c r="R17" s="964">
        <v>49232205</v>
      </c>
      <c r="S17" s="983">
        <f t="shared" si="0"/>
        <v>0</v>
      </c>
      <c r="T17" s="983">
        <f t="shared" si="1"/>
        <v>0</v>
      </c>
      <c r="U17" s="983">
        <f t="shared" si="2"/>
        <v>1.9391154686785272E-2</v>
      </c>
    </row>
    <row r="18" spans="1:21" ht="12.75" customHeight="1" x14ac:dyDescent="0.2">
      <c r="A18" s="633" t="s">
        <v>435</v>
      </c>
      <c r="B18" s="634" t="s">
        <v>428</v>
      </c>
      <c r="C18" s="342">
        <f>+'2. önkorm.bevkiad'!C18+'3. INT összes'!C18</f>
        <v>8000000</v>
      </c>
      <c r="D18" s="342">
        <f>+'2. önkorm.bevkiad'!D18+'3. INT összes'!D18</f>
        <v>8000000</v>
      </c>
      <c r="E18" s="342">
        <f>+'2. önkorm.bevkiad'!E18+'3. INT összes'!E18</f>
        <v>8000000</v>
      </c>
      <c r="F18" s="342">
        <f>+'2. önkorm.bevkiad'!F18+'3. INT összes'!F18</f>
        <v>0</v>
      </c>
      <c r="G18" s="342">
        <f>+'2. önkorm.bevkiad'!G18+'3. INT összes'!G18</f>
        <v>0</v>
      </c>
      <c r="H18" s="342">
        <f>+'2. önkorm.bevkiad'!H18+'3. INT összes'!H18</f>
        <v>0</v>
      </c>
      <c r="I18" s="342">
        <f>+'2. önkorm.bevkiad'!I18+'3. INT összes'!I18</f>
        <v>0</v>
      </c>
      <c r="J18" s="342">
        <f>+'2. önkorm.bevkiad'!J18+'3. INT összes'!J18</f>
        <v>0</v>
      </c>
      <c r="K18" s="342">
        <f>+'2. önkorm.bevkiad'!K18+'3. INT összes'!K18</f>
        <v>0</v>
      </c>
      <c r="L18" s="342">
        <f>+'2. önkorm.bevkiad'!L18+'3. INT összes'!L18</f>
        <v>0</v>
      </c>
      <c r="M18" s="341">
        <f>+'2. önkorm.bevkiad'!M18+'3. INT összes'!M18</f>
        <v>8000000</v>
      </c>
      <c r="N18" s="341">
        <f>+'2. önkorm.bevkiad'!N18+'3. INT összes'!N18</f>
        <v>8000000</v>
      </c>
      <c r="O18" s="341">
        <f>+'2. önkorm.bevkiad'!O18+'3. INT összes'!O18</f>
        <v>8000000</v>
      </c>
      <c r="P18" s="708"/>
      <c r="Q18" s="1005">
        <v>11461878</v>
      </c>
      <c r="R18" s="964">
        <v>4888079</v>
      </c>
      <c r="S18" s="983">
        <f t="shared" si="0"/>
        <v>2.1750839242537898E-3</v>
      </c>
      <c r="T18" s="983">
        <f t="shared" si="1"/>
        <v>4.1954187867172142E-3</v>
      </c>
      <c r="U18" s="983">
        <f t="shared" si="2"/>
        <v>1.9252742388894965E-3</v>
      </c>
    </row>
    <row r="19" spans="1:21" s="984" customFormat="1" ht="12.75" customHeight="1" x14ac:dyDescent="0.2">
      <c r="A19" s="628" t="s">
        <v>15</v>
      </c>
      <c r="B19" s="636" t="s">
        <v>76</v>
      </c>
      <c r="C19" s="341">
        <f>+'2. önkorm.bevkiad'!C19+'3. INT összes'!C19</f>
        <v>218325000</v>
      </c>
      <c r="D19" s="341">
        <f>+'2. önkorm.bevkiad'!D19+'3. INT összes'!D19</f>
        <v>220325000</v>
      </c>
      <c r="E19" s="341">
        <f>+'2. önkorm.bevkiad'!E19+'3. INT összes'!E19</f>
        <v>220325000</v>
      </c>
      <c r="F19" s="341">
        <f>+'2. önkorm.bevkiad'!F19+'3. INT összes'!F19</f>
        <v>0</v>
      </c>
      <c r="G19" s="341">
        <f>+'2. önkorm.bevkiad'!G19+'3. INT összes'!G19</f>
        <v>0</v>
      </c>
      <c r="H19" s="341">
        <f>+'2. önkorm.bevkiad'!H19+'3. INT összes'!H19</f>
        <v>0</v>
      </c>
      <c r="I19" s="341">
        <f>+'2. önkorm.bevkiad'!I19+'3. INT összes'!I19</f>
        <v>0</v>
      </c>
      <c r="J19" s="341">
        <f>+'2. önkorm.bevkiad'!J19+'3. INT összes'!J19</f>
        <v>0</v>
      </c>
      <c r="K19" s="341">
        <f>+'2. önkorm.bevkiad'!K19+'3. INT összes'!K19</f>
        <v>0</v>
      </c>
      <c r="L19" s="341">
        <f>+'2. önkorm.bevkiad'!L19+'3. INT összes'!L19</f>
        <v>0</v>
      </c>
      <c r="M19" s="341">
        <f>+'2. önkorm.bevkiad'!M19+'3. INT összes'!M19</f>
        <v>218325000</v>
      </c>
      <c r="N19" s="341">
        <f>+'2. önkorm.bevkiad'!N19+'3. INT összes'!N19</f>
        <v>220325000</v>
      </c>
      <c r="O19" s="341">
        <f>+'2. önkorm.bevkiad'!O19+'3. INT összes'!O19</f>
        <v>220325000</v>
      </c>
      <c r="P19" s="708"/>
      <c r="Q19" s="1005">
        <v>140522843</v>
      </c>
      <c r="R19" s="964">
        <v>246846695</v>
      </c>
      <c r="S19" s="983">
        <f t="shared" si="0"/>
        <v>5.9359399720338588E-2</v>
      </c>
      <c r="T19" s="983">
        <f t="shared" si="1"/>
        <v>5.1435914383760981E-2</v>
      </c>
      <c r="U19" s="983">
        <f t="shared" si="2"/>
        <v>9.7225839197466468E-2</v>
      </c>
    </row>
    <row r="20" spans="1:21" s="984" customFormat="1" ht="12.75" customHeight="1" x14ac:dyDescent="0.2">
      <c r="A20" s="628" t="s">
        <v>16</v>
      </c>
      <c r="B20" s="636" t="s">
        <v>77</v>
      </c>
      <c r="C20" s="341">
        <f>+'2. önkorm.bevkiad'!C20+'3. INT összes'!C20</f>
        <v>760000000</v>
      </c>
      <c r="D20" s="341">
        <f>+'2. önkorm.bevkiad'!D20+'3. INT összes'!D20</f>
        <v>760000000</v>
      </c>
      <c r="E20" s="341">
        <f>+'2. önkorm.bevkiad'!E20+'3. INT összes'!E20</f>
        <v>760000000</v>
      </c>
      <c r="F20" s="341">
        <f>+'2. önkorm.bevkiad'!F20+'3. INT összes'!F20</f>
        <v>0</v>
      </c>
      <c r="G20" s="341">
        <f>+'2. önkorm.bevkiad'!G20+'3. INT összes'!G20</f>
        <v>0</v>
      </c>
      <c r="H20" s="341">
        <f>+'2. önkorm.bevkiad'!H20+'3. INT összes'!H20</f>
        <v>0</v>
      </c>
      <c r="I20" s="341">
        <f>+'2. önkorm.bevkiad'!I20+'3. INT összes'!I20</f>
        <v>0</v>
      </c>
      <c r="J20" s="341">
        <f>+'2. önkorm.bevkiad'!J20+'3. INT összes'!J20</f>
        <v>0</v>
      </c>
      <c r="K20" s="341">
        <f>+'2. önkorm.bevkiad'!K20+'3. INT összes'!K20</f>
        <v>0</v>
      </c>
      <c r="L20" s="341">
        <f>+'2. önkorm.bevkiad'!L20+'3. INT összes'!L20</f>
        <v>0</v>
      </c>
      <c r="M20" s="341">
        <f>+'2. önkorm.bevkiad'!M20+'3. INT összes'!M20</f>
        <v>760000000</v>
      </c>
      <c r="N20" s="341">
        <f>+'2. önkorm.bevkiad'!N20+'3. INT összes'!N20</f>
        <v>760000000</v>
      </c>
      <c r="O20" s="341">
        <f>+'2. önkorm.bevkiad'!O20+'3. INT összes'!O20</f>
        <v>760000000</v>
      </c>
      <c r="P20" s="708"/>
      <c r="Q20" s="1005">
        <v>11556181</v>
      </c>
      <c r="R20" s="964">
        <v>73079076</v>
      </c>
      <c r="S20" s="983">
        <f t="shared" si="0"/>
        <v>0.20663297280411003</v>
      </c>
      <c r="T20" s="983">
        <f t="shared" si="1"/>
        <v>4.2299367407421821E-3</v>
      </c>
      <c r="U20" s="983">
        <f t="shared" si="2"/>
        <v>2.8783753786435873E-2</v>
      </c>
    </row>
    <row r="21" spans="1:21" s="984" customFormat="1" ht="12.75" customHeight="1" x14ac:dyDescent="0.2">
      <c r="A21" s="628" t="s">
        <v>17</v>
      </c>
      <c r="B21" s="636" t="s">
        <v>78</v>
      </c>
      <c r="C21" s="341">
        <f>+'2. önkorm.bevkiad'!C21+'3. INT összes'!C21</f>
        <v>0</v>
      </c>
      <c r="D21" s="341">
        <f>+'2. önkorm.bevkiad'!D21+'3. INT összes'!D21</f>
        <v>0</v>
      </c>
      <c r="E21" s="341">
        <f>+'2. önkorm.bevkiad'!E21+'3. INT összes'!E21</f>
        <v>0</v>
      </c>
      <c r="F21" s="341">
        <f>+'2. önkorm.bevkiad'!F21+'3. INT összes'!F21</f>
        <v>0</v>
      </c>
      <c r="G21" s="341">
        <f>+'2. önkorm.bevkiad'!G21+'3. INT összes'!G21</f>
        <v>0</v>
      </c>
      <c r="H21" s="985">
        <f>+'2. önkorm.bevkiad'!H21+'3. INT összes'!H21</f>
        <v>0</v>
      </c>
      <c r="I21" s="985">
        <f>+'2. önkorm.bevkiad'!I21+'3. INT összes'!I21</f>
        <v>0</v>
      </c>
      <c r="J21" s="985">
        <f>+'2. önkorm.bevkiad'!J21+'3. INT összes'!J21</f>
        <v>0</v>
      </c>
      <c r="K21" s="341">
        <f>+'2. önkorm.bevkiad'!K21+'3. INT összes'!K21</f>
        <v>0</v>
      </c>
      <c r="L21" s="341">
        <f>+'2. önkorm.bevkiad'!L21+'3. INT összes'!L21</f>
        <v>0</v>
      </c>
      <c r="M21" s="341">
        <f>+'2. önkorm.bevkiad'!M21+'3. INT összes'!M21</f>
        <v>0</v>
      </c>
      <c r="N21" s="341">
        <f>+'2. önkorm.bevkiad'!N21+'3. INT összes'!N21</f>
        <v>0</v>
      </c>
      <c r="O21" s="341">
        <f>+'2. önkorm.bevkiad'!O21+'3. INT összes'!O21</f>
        <v>0</v>
      </c>
      <c r="P21" s="708"/>
      <c r="Q21" s="1005">
        <v>8195362</v>
      </c>
      <c r="R21" s="964">
        <v>38253024</v>
      </c>
      <c r="S21" s="983">
        <f t="shared" si="0"/>
        <v>0</v>
      </c>
      <c r="T21" s="983">
        <f t="shared" si="1"/>
        <v>2.9997680745466283E-3</v>
      </c>
      <c r="U21" s="983">
        <f t="shared" si="2"/>
        <v>1.5066769924713092E-2</v>
      </c>
    </row>
    <row r="22" spans="1:21" s="984" customFormat="1" ht="12.75" customHeight="1" x14ac:dyDescent="0.2">
      <c r="A22" s="628" t="s">
        <v>18</v>
      </c>
      <c r="B22" s="636" t="s">
        <v>79</v>
      </c>
      <c r="C22" s="341">
        <f>+'2. önkorm.bevkiad'!C22+'3. INT összes'!C22</f>
        <v>0</v>
      </c>
      <c r="D22" s="341">
        <f>+'2. önkorm.bevkiad'!D22+'3. INT összes'!D22</f>
        <v>0</v>
      </c>
      <c r="E22" s="341">
        <f>+'2. önkorm.bevkiad'!E22+'3. INT összes'!E22</f>
        <v>0</v>
      </c>
      <c r="F22" s="341">
        <f>+'2. önkorm.bevkiad'!F22+'3. INT összes'!F22</f>
        <v>0</v>
      </c>
      <c r="G22" s="341">
        <f>+'2. önkorm.bevkiad'!G22+'3. INT összes'!G22</f>
        <v>0</v>
      </c>
      <c r="H22" s="341">
        <f>+'2. önkorm.bevkiad'!H22+'3. INT összes'!H22</f>
        <v>0</v>
      </c>
      <c r="I22" s="341">
        <f>+'2. önkorm.bevkiad'!I22+'3. INT összes'!I22</f>
        <v>0</v>
      </c>
      <c r="J22" s="341">
        <f>+'2. önkorm.bevkiad'!J22+'3. INT összes'!J22</f>
        <v>0</v>
      </c>
      <c r="K22" s="341">
        <f>+'2. önkorm.bevkiad'!K22+'3. INT összes'!K22</f>
        <v>0</v>
      </c>
      <c r="L22" s="341">
        <f>+'2. önkorm.bevkiad'!L22+'3. INT összes'!L22</f>
        <v>0</v>
      </c>
      <c r="M22" s="341">
        <f>+'2. önkorm.bevkiad'!M22+'3. INT összes'!M22</f>
        <v>0</v>
      </c>
      <c r="N22" s="341">
        <f>+'2. önkorm.bevkiad'!N22+'3. INT összes'!N22</f>
        <v>0</v>
      </c>
      <c r="O22" s="341">
        <f>+'2. önkorm.bevkiad'!O22+'3. INT összes'!O22</f>
        <v>0</v>
      </c>
      <c r="P22" s="708"/>
      <c r="Q22" s="1005">
        <v>1152875</v>
      </c>
      <c r="R22" s="964">
        <v>836250</v>
      </c>
      <c r="S22" s="983">
        <f t="shared" si="0"/>
        <v>0</v>
      </c>
      <c r="T22" s="983">
        <f t="shared" si="1"/>
        <v>4.2198961058009934E-4</v>
      </c>
      <c r="U22" s="983">
        <f t="shared" si="2"/>
        <v>3.2937491032189567E-4</v>
      </c>
    </row>
    <row r="23" spans="1:21" s="984" customFormat="1" ht="12.75" customHeight="1" x14ac:dyDescent="0.2">
      <c r="A23" s="637" t="s">
        <v>19</v>
      </c>
      <c r="B23" s="638" t="s">
        <v>80</v>
      </c>
      <c r="C23" s="341">
        <f>+'2. önkorm.bevkiad'!C23+'3. INT összes'!C23</f>
        <v>3678019000</v>
      </c>
      <c r="D23" s="341">
        <f>+'2. önkorm.bevkiad'!D23+'3. INT összes'!D23</f>
        <v>3680019000</v>
      </c>
      <c r="E23" s="341">
        <f>+'2. önkorm.bevkiad'!E23+'3. INT összes'!E23</f>
        <v>3680019000</v>
      </c>
      <c r="F23" s="341">
        <f>+'2. önkorm.bevkiad'!F23+'3. INT összes'!F23</f>
        <v>0</v>
      </c>
      <c r="G23" s="341">
        <f>+'2. önkorm.bevkiad'!G23+'3. INT összes'!G23</f>
        <v>0</v>
      </c>
      <c r="H23" s="341">
        <f>+'2. önkorm.bevkiad'!H23+'3. INT összes'!H23</f>
        <v>0</v>
      </c>
      <c r="I23" s="341">
        <f>+'2. önkorm.bevkiad'!I23+'3. INT összes'!I23</f>
        <v>0</v>
      </c>
      <c r="J23" s="341">
        <f>+'2. önkorm.bevkiad'!J23+'3. INT összes'!J23</f>
        <v>0</v>
      </c>
      <c r="K23" s="341">
        <f>+'2. önkorm.bevkiad'!K23+'3. INT összes'!K23</f>
        <v>0</v>
      </c>
      <c r="L23" s="341">
        <f>+'2. önkorm.bevkiad'!L23+'3. INT összes'!L23</f>
        <v>0</v>
      </c>
      <c r="M23" s="341">
        <f>+'2. önkorm.bevkiad'!M23+'3. INT összes'!M23</f>
        <v>3678019000</v>
      </c>
      <c r="N23" s="341">
        <f>+'2. önkorm.bevkiad'!N23+'3. INT összes'!N23</f>
        <v>3680019000</v>
      </c>
      <c r="O23" s="341">
        <f>+'2. önkorm.bevkiad'!O23+'3. INT összes'!O23</f>
        <v>3680019000</v>
      </c>
      <c r="P23" s="708"/>
      <c r="Q23" s="1006">
        <f>+Q5+Q6+Q11+Q12+Q19+Q20+Q21+Q22</f>
        <v>2731998540</v>
      </c>
      <c r="R23" s="966">
        <f>+R5+R6+R11+R12+R19+R20+R21+R22</f>
        <v>2538900122</v>
      </c>
      <c r="S23" s="983">
        <f t="shared" si="0"/>
        <v>1</v>
      </c>
      <c r="T23" s="983">
        <f t="shared" si="1"/>
        <v>1</v>
      </c>
      <c r="U23" s="983">
        <f t="shared" si="2"/>
        <v>1</v>
      </c>
    </row>
    <row r="24" spans="1:21" ht="12.75" customHeight="1" x14ac:dyDescent="0.2">
      <c r="A24" s="633" t="s">
        <v>20</v>
      </c>
      <c r="B24" s="634" t="s">
        <v>356</v>
      </c>
      <c r="C24" s="342">
        <f>+'2. önkorm.bevkiad'!C24+'3. INT összes'!C24</f>
        <v>350000000</v>
      </c>
      <c r="D24" s="342">
        <f>+'2. önkorm.bevkiad'!D24+'3. INT összes'!D24</f>
        <v>350000000</v>
      </c>
      <c r="E24" s="342">
        <f>+'2. önkorm.bevkiad'!E24+'3. INT összes'!E24</f>
        <v>350000000</v>
      </c>
      <c r="F24" s="342">
        <f>+'2. önkorm.bevkiad'!F24+'3. INT összes'!F24</f>
        <v>350000000</v>
      </c>
      <c r="G24" s="342">
        <f>+'2. önkorm.bevkiad'!G24+'3. INT összes'!G24</f>
        <v>0</v>
      </c>
      <c r="H24" s="342">
        <f>+'2. önkorm.bevkiad'!H24+'3. INT összes'!H24</f>
        <v>0</v>
      </c>
      <c r="I24" s="342">
        <f>+'2. önkorm.bevkiad'!I24+'3. INT összes'!I24</f>
        <v>0</v>
      </c>
      <c r="J24" s="342">
        <f>+'2. önkorm.bevkiad'!J24+'3. INT összes'!J24</f>
        <v>0</v>
      </c>
      <c r="K24" s="342">
        <f>+'2. önkorm.bevkiad'!K24+'3. INT összes'!K24</f>
        <v>0</v>
      </c>
      <c r="L24" s="342">
        <f>+'2. önkorm.bevkiad'!L24+'3. INT összes'!L24</f>
        <v>0</v>
      </c>
      <c r="M24" s="341">
        <f>+'2. önkorm.bevkiad'!M24+'3. INT összes'!M24</f>
        <v>350000000</v>
      </c>
      <c r="N24" s="341">
        <f>+'2. önkorm.bevkiad'!N24+'3. INT összes'!N24</f>
        <v>350000000</v>
      </c>
      <c r="O24" s="341">
        <f>+'2. önkorm.bevkiad'!O24+'3. INT összes'!O24</f>
        <v>350000000</v>
      </c>
      <c r="P24" s="708"/>
      <c r="Q24" s="1005">
        <v>0</v>
      </c>
      <c r="R24" s="964">
        <v>206546804</v>
      </c>
    </row>
    <row r="25" spans="1:21" ht="12.75" customHeight="1" x14ac:dyDescent="0.2">
      <c r="A25" s="633" t="s">
        <v>21</v>
      </c>
      <c r="B25" s="634" t="s">
        <v>357</v>
      </c>
      <c r="C25" s="342">
        <f>+'2. önkorm.bevkiad'!C25+'3. INT összes'!C25</f>
        <v>350000000</v>
      </c>
      <c r="D25" s="965">
        <f>+'2. önkorm.bevkiad'!D25+'3. INT összes'!D25</f>
        <v>350000000</v>
      </c>
      <c r="E25" s="965">
        <f>+'2. önkorm.bevkiad'!E25+'3. INT összes'!E25</f>
        <v>350000000</v>
      </c>
      <c r="F25" s="965">
        <f>+'2. önkorm.bevkiad'!F25+'3. INT összes'!F25</f>
        <v>350000000</v>
      </c>
      <c r="G25" s="342">
        <f>+'2. önkorm.bevkiad'!G25+'3. INT összes'!G25</f>
        <v>0</v>
      </c>
      <c r="H25" s="342">
        <f>+'2. önkorm.bevkiad'!H25+'3. INT összes'!H25</f>
        <v>0</v>
      </c>
      <c r="I25" s="342">
        <f>+'2. önkorm.bevkiad'!I25+'3. INT összes'!I25</f>
        <v>0</v>
      </c>
      <c r="J25" s="342">
        <f>+'2. önkorm.bevkiad'!J25+'3. INT összes'!J25</f>
        <v>0</v>
      </c>
      <c r="K25" s="342">
        <f>+'2. önkorm.bevkiad'!K25+'3. INT összes'!K25</f>
        <v>0</v>
      </c>
      <c r="L25" s="342">
        <f>+'2. önkorm.bevkiad'!L25+'3. INT összes'!L25</f>
        <v>0</v>
      </c>
      <c r="M25" s="341">
        <f>+'2. önkorm.bevkiad'!M25+'3. INT összes'!M25</f>
        <v>350000000</v>
      </c>
      <c r="N25" s="341">
        <f>+'2. önkorm.bevkiad'!N25+'3. INT összes'!N25</f>
        <v>350000000</v>
      </c>
      <c r="O25" s="341">
        <f>+'2. önkorm.bevkiad'!O25+'3. INT összes'!O25</f>
        <v>350000000</v>
      </c>
      <c r="P25" s="708"/>
      <c r="Q25" s="1005">
        <v>166647319</v>
      </c>
      <c r="R25" s="964"/>
    </row>
    <row r="26" spans="1:21" ht="12.75" customHeight="1" x14ac:dyDescent="0.2">
      <c r="A26" s="633"/>
      <c r="B26" s="634" t="s">
        <v>82</v>
      </c>
      <c r="C26" s="342">
        <f>+'2. önkorm.bevkiad'!C26+'3. INT összes'!C26</f>
        <v>0</v>
      </c>
      <c r="D26" s="965">
        <f>+'2. önkorm.bevkiad'!D26+'3. INT összes'!D26</f>
        <v>0</v>
      </c>
      <c r="E26" s="965">
        <f>+'2. önkorm.bevkiad'!E26+'3. INT összes'!E26</f>
        <v>0</v>
      </c>
      <c r="F26" s="965">
        <f>+'2. önkorm.bevkiad'!F26+'3. INT összes'!F26</f>
        <v>0</v>
      </c>
      <c r="G26" s="342">
        <f>+'2. önkorm.bevkiad'!G26+'3. INT összes'!G26</f>
        <v>0</v>
      </c>
      <c r="H26" s="342">
        <f>+'2. önkorm.bevkiad'!H26+'3. INT összes'!H26</f>
        <v>0</v>
      </c>
      <c r="I26" s="342">
        <f>+'2. önkorm.bevkiad'!I26+'3. INT összes'!I26</f>
        <v>0</v>
      </c>
      <c r="J26" s="342">
        <f>+'2. önkorm.bevkiad'!J26+'3. INT összes'!J26</f>
        <v>0</v>
      </c>
      <c r="K26" s="342">
        <f>+'2. önkorm.bevkiad'!K26+'3. INT összes'!K26</f>
        <v>0</v>
      </c>
      <c r="L26" s="342">
        <f>+'2. önkorm.bevkiad'!L26+'3. INT összes'!L26</f>
        <v>0</v>
      </c>
      <c r="M26" s="341">
        <f>+'2. önkorm.bevkiad'!M26+'3. INT összes'!M26</f>
        <v>0</v>
      </c>
      <c r="N26" s="341">
        <f>+'2. önkorm.bevkiad'!N26+'3. INT összes'!N26</f>
        <v>0</v>
      </c>
      <c r="O26" s="341">
        <f>+'2. önkorm.bevkiad'!O26+'3. INT összes'!O26</f>
        <v>0</v>
      </c>
      <c r="P26" s="708"/>
      <c r="Q26" s="1007"/>
      <c r="R26" s="967"/>
    </row>
    <row r="27" spans="1:21" ht="12.75" customHeight="1" x14ac:dyDescent="0.2">
      <c r="A27" s="628" t="s">
        <v>22</v>
      </c>
      <c r="B27" s="636" t="s">
        <v>152</v>
      </c>
      <c r="C27" s="342">
        <f>+'2. önkorm.bevkiad'!C27+'3. INT összes'!C27</f>
        <v>222000000</v>
      </c>
      <c r="D27" s="965">
        <f>+'2. önkorm.bevkiad'!D27+'3. INT összes'!D27</f>
        <v>222000000</v>
      </c>
      <c r="E27" s="965">
        <f>+'2. önkorm.bevkiad'!E27+'3. INT összes'!E27</f>
        <v>218742043</v>
      </c>
      <c r="F27" s="965">
        <f>+'2. önkorm.bevkiad'!F27+'3. INT összes'!F27</f>
        <v>0</v>
      </c>
      <c r="G27" s="342">
        <f>+'2. önkorm.bevkiad'!G27+'3. INT összes'!G27</f>
        <v>0</v>
      </c>
      <c r="H27" s="342">
        <f>+'2. önkorm.bevkiad'!H27+'3. INT összes'!H27</f>
        <v>0</v>
      </c>
      <c r="I27" s="342">
        <f>+'2. önkorm.bevkiad'!I27+'3. INT összes'!I27</f>
        <v>0</v>
      </c>
      <c r="J27" s="342">
        <f>+'2. önkorm.bevkiad'!J27+'3. INT összes'!J27</f>
        <v>0</v>
      </c>
      <c r="K27" s="342">
        <f>+'2. önkorm.bevkiad'!K27+'3. INT összes'!K27</f>
        <v>0</v>
      </c>
      <c r="L27" s="342">
        <f>+'2. önkorm.bevkiad'!L27+'3. INT összes'!L27</f>
        <v>0</v>
      </c>
      <c r="M27" s="341">
        <f>+'2. önkorm.bevkiad'!M27+'3. INT összes'!M27</f>
        <v>222000000</v>
      </c>
      <c r="N27" s="341">
        <f>+'2. önkorm.bevkiad'!N27+'3. INT összes'!N27</f>
        <v>222000000</v>
      </c>
      <c r="O27" s="341">
        <f>+'2. önkorm.bevkiad'!O27+'3. INT összes'!O27</f>
        <v>218742043</v>
      </c>
      <c r="P27" s="708"/>
      <c r="Q27" s="1005">
        <v>221351063</v>
      </c>
      <c r="R27" s="964">
        <v>726038736</v>
      </c>
    </row>
    <row r="28" spans="1:21" ht="12.75" customHeight="1" x14ac:dyDescent="0.2">
      <c r="A28" s="633" t="s">
        <v>23</v>
      </c>
      <c r="B28" s="634" t="s">
        <v>83</v>
      </c>
      <c r="C28" s="342">
        <f>+'2. önkorm.bevkiad'!C28+'3. INT összes'!C28</f>
        <v>1165573000</v>
      </c>
      <c r="D28" s="965">
        <f>+'2. önkorm.bevkiad'!D28+'3. INT összes'!D28</f>
        <v>1165573000</v>
      </c>
      <c r="E28" s="965">
        <f>+'2. önkorm.bevkiad'!E28+'3. INT összes'!E28</f>
        <v>1165573000</v>
      </c>
      <c r="F28" s="965">
        <f>+'2. önkorm.bevkiad'!F28+'3. INT összes'!F28</f>
        <v>0</v>
      </c>
      <c r="G28" s="342">
        <f>+'2. önkorm.bevkiad'!G28+'3. INT összes'!G28</f>
        <v>0</v>
      </c>
      <c r="H28" s="342">
        <f>+'2. önkorm.bevkiad'!H28+'3. INT összes'!H28</f>
        <v>0</v>
      </c>
      <c r="I28" s="342">
        <f>+'2. önkorm.bevkiad'!I28+'3. INT összes'!I28</f>
        <v>0</v>
      </c>
      <c r="J28" s="342">
        <f>+'2. önkorm.bevkiad'!J28+'3. INT összes'!J28</f>
        <v>0</v>
      </c>
      <c r="K28" s="342">
        <f>+'2. önkorm.bevkiad'!K28+'3. INT összes'!K28</f>
        <v>0</v>
      </c>
      <c r="L28" s="342">
        <f>+'2. önkorm.bevkiad'!L28+'3. INT összes'!L28</f>
        <v>0</v>
      </c>
      <c r="M28" s="341">
        <f>+'2. önkorm.bevkiad'!M28+'3. INT összes'!M28</f>
        <v>1165573000</v>
      </c>
      <c r="N28" s="341">
        <f>+'2. önkorm.bevkiad'!N28+'3. INT összes'!N28</f>
        <v>1165573000</v>
      </c>
      <c r="O28" s="341">
        <f>+'2. önkorm.bevkiad'!O28+'3. INT összes'!O28</f>
        <v>1165573000</v>
      </c>
      <c r="P28" s="708"/>
      <c r="Q28" s="1005">
        <v>1090661351</v>
      </c>
      <c r="R28" s="964">
        <v>956400839</v>
      </c>
    </row>
    <row r="29" spans="1:21" ht="12.75" customHeight="1" x14ac:dyDescent="0.2">
      <c r="A29" s="633" t="s">
        <v>114</v>
      </c>
      <c r="B29" s="634" t="s">
        <v>84</v>
      </c>
      <c r="C29" s="342">
        <f>+'2. önkorm.bevkiad'!C29+'3. INT összes'!C29</f>
        <v>1165573000</v>
      </c>
      <c r="D29" s="965">
        <f>+'2. önkorm.bevkiad'!D29+'3. INT összes'!D29</f>
        <v>1165573000</v>
      </c>
      <c r="E29" s="965">
        <f>+'2. önkorm.bevkiad'!E29+'3. INT összes'!E29</f>
        <v>1165573000</v>
      </c>
      <c r="F29" s="965">
        <f>+'2. önkorm.bevkiad'!F29+'3. INT összes'!F29</f>
        <v>0</v>
      </c>
      <c r="G29" s="342">
        <f>+'2. önkorm.bevkiad'!G29+'3. INT összes'!G29</f>
        <v>0</v>
      </c>
      <c r="H29" s="342">
        <f>+'2. önkorm.bevkiad'!H29+'3. INT összes'!H29</f>
        <v>0</v>
      </c>
      <c r="I29" s="342">
        <f>+'2. önkorm.bevkiad'!I29+'3. INT összes'!I29</f>
        <v>0</v>
      </c>
      <c r="J29" s="342">
        <f>+'2. önkorm.bevkiad'!J29+'3. INT összes'!J29</f>
        <v>0</v>
      </c>
      <c r="K29" s="342">
        <f>+'2. önkorm.bevkiad'!K29+'3. INT összes'!K29</f>
        <v>0</v>
      </c>
      <c r="L29" s="342">
        <f>+'2. önkorm.bevkiad'!L29+'3. INT összes'!L29</f>
        <v>0</v>
      </c>
      <c r="M29" s="341">
        <f>+'2. önkorm.bevkiad'!M29+'3. INT összes'!M29</f>
        <v>1165573000</v>
      </c>
      <c r="N29" s="341">
        <f>+'2. önkorm.bevkiad'!N29+'3. INT összes'!N29</f>
        <v>1165573000</v>
      </c>
      <c r="O29" s="341">
        <f>+'2. önkorm.bevkiad'!O29+'3. INT összes'!O29</f>
        <v>1165573000</v>
      </c>
      <c r="P29" s="708"/>
      <c r="Q29" s="1005">
        <v>1090661351</v>
      </c>
      <c r="R29" s="964">
        <v>956400839</v>
      </c>
    </row>
    <row r="30" spans="1:21" ht="12.75" customHeight="1" x14ac:dyDescent="0.2">
      <c r="A30" s="633" t="s">
        <v>115</v>
      </c>
      <c r="B30" s="640" t="s">
        <v>210</v>
      </c>
      <c r="C30" s="342">
        <f>+'2. önkorm.bevkiad'!C30+'3. INT összes'!C30</f>
        <v>0</v>
      </c>
      <c r="D30" s="965">
        <f>+'2. önkorm.bevkiad'!D30+'3. INT összes'!D30</f>
        <v>0</v>
      </c>
      <c r="E30" s="965">
        <f>+'2. önkorm.bevkiad'!E30+'3. INT összes'!E30</f>
        <v>0</v>
      </c>
      <c r="F30" s="965">
        <f>+'2. önkorm.bevkiad'!F30+'3. INT összes'!F30</f>
        <v>0</v>
      </c>
      <c r="G30" s="342">
        <f>+'2. önkorm.bevkiad'!G30+'3. INT összes'!G30</f>
        <v>0</v>
      </c>
      <c r="H30" s="342">
        <f>+'2. önkorm.bevkiad'!H30+'3. INT összes'!H30</f>
        <v>0</v>
      </c>
      <c r="I30" s="342">
        <f>+'2. önkorm.bevkiad'!I30+'3. INT összes'!I30</f>
        <v>0</v>
      </c>
      <c r="J30" s="342">
        <f>+'2. önkorm.bevkiad'!J30+'3. INT összes'!J30</f>
        <v>0</v>
      </c>
      <c r="K30" s="342">
        <f>+'2. önkorm.bevkiad'!K30+'3. INT összes'!K30</f>
        <v>0</v>
      </c>
      <c r="L30" s="342">
        <f>+'2. önkorm.bevkiad'!L30+'3. INT összes'!L30</f>
        <v>0</v>
      </c>
      <c r="M30" s="341">
        <f>+'2. önkorm.bevkiad'!M30+'3. INT összes'!M30</f>
        <v>0</v>
      </c>
      <c r="N30" s="341">
        <f>+'2. önkorm.bevkiad'!N30+'3. INT összes'!N30</f>
        <v>0</v>
      </c>
      <c r="O30" s="341">
        <f>+'2. önkorm.bevkiad'!O30+'3. INT összes'!O30</f>
        <v>0</v>
      </c>
      <c r="P30" s="708"/>
      <c r="Q30" s="1007"/>
      <c r="R30" s="967"/>
    </row>
    <row r="31" spans="1:21" ht="12.75" customHeight="1" x14ac:dyDescent="0.2">
      <c r="A31" s="633" t="s">
        <v>24</v>
      </c>
      <c r="B31" s="640" t="s">
        <v>314</v>
      </c>
      <c r="C31" s="342">
        <f>+'2. önkorm.bevkiad'!C31+'3. INT összes'!C31</f>
        <v>42637000</v>
      </c>
      <c r="D31" s="965">
        <f>+'2. önkorm.bevkiad'!D31+'3. INT összes'!D31</f>
        <v>42636786</v>
      </c>
      <c r="E31" s="965">
        <f>+'2. önkorm.bevkiad'!E31+'3. INT összes'!E31</f>
        <v>42636786</v>
      </c>
      <c r="F31" s="965">
        <f>+'2. önkorm.bevkiad'!F31+'3. INT összes'!F31</f>
        <v>0</v>
      </c>
      <c r="G31" s="342">
        <f>+'2. önkorm.bevkiad'!G31+'3. INT összes'!G31</f>
        <v>0</v>
      </c>
      <c r="H31" s="342">
        <f>+'2. önkorm.bevkiad'!H31+'3. INT összes'!H31</f>
        <v>0</v>
      </c>
      <c r="I31" s="342">
        <f>+'2. önkorm.bevkiad'!I31+'3. INT összes'!I31</f>
        <v>0</v>
      </c>
      <c r="J31" s="342">
        <f>+'2. önkorm.bevkiad'!J31+'3. INT összes'!J31</f>
        <v>0</v>
      </c>
      <c r="K31" s="342">
        <f>+'2. önkorm.bevkiad'!K31+'3. INT összes'!K31</f>
        <v>0</v>
      </c>
      <c r="L31" s="342">
        <f>+'2. önkorm.bevkiad'!L31+'3. INT összes'!L31</f>
        <v>0</v>
      </c>
      <c r="M31" s="341">
        <f>+'2. önkorm.bevkiad'!M31+'3. INT összes'!M31</f>
        <v>42637000</v>
      </c>
      <c r="N31" s="341">
        <f>+'2. önkorm.bevkiad'!N31+'3. INT összes'!N31</f>
        <v>42636786</v>
      </c>
      <c r="O31" s="341">
        <f>+'2. önkorm.bevkiad'!O31+'3. INT összes'!O31</f>
        <v>42636786</v>
      </c>
      <c r="P31" s="708"/>
      <c r="Q31" s="1005">
        <v>42636786</v>
      </c>
      <c r="R31" s="964">
        <v>28757</v>
      </c>
    </row>
    <row r="32" spans="1:21" ht="12.75" customHeight="1" x14ac:dyDescent="0.2">
      <c r="A32" s="633" t="s">
        <v>25</v>
      </c>
      <c r="B32" s="640" t="s">
        <v>86</v>
      </c>
      <c r="C32" s="342">
        <f>+'2. önkorm.bevkiad'!C32+'3. INT összes'!C32</f>
        <v>0</v>
      </c>
      <c r="D32" s="965">
        <f>+'2. önkorm.bevkiad'!D32+'3. INT összes'!D32</f>
        <v>0</v>
      </c>
      <c r="E32" s="965">
        <f>+'2. önkorm.bevkiad'!E32+'3. INT összes'!E32</f>
        <v>0</v>
      </c>
      <c r="F32" s="965">
        <f>+'2. önkorm.bevkiad'!F32+'3. INT összes'!F32</f>
        <v>0</v>
      </c>
      <c r="G32" s="342">
        <f>+'2. önkorm.bevkiad'!G32+'3. INT összes'!G32</f>
        <v>0</v>
      </c>
      <c r="H32" s="342">
        <f>+'2. önkorm.bevkiad'!H32+'3. INT összes'!H32</f>
        <v>0</v>
      </c>
      <c r="I32" s="342">
        <f>+'2. önkorm.bevkiad'!I32+'3. INT összes'!I32</f>
        <v>0</v>
      </c>
      <c r="J32" s="342">
        <f>+'2. önkorm.bevkiad'!J32+'3. INT összes'!J32</f>
        <v>0</v>
      </c>
      <c r="K32" s="342">
        <f>+'2. önkorm.bevkiad'!K32+'3. INT összes'!K32</f>
        <v>0</v>
      </c>
      <c r="L32" s="342">
        <f>+'2. önkorm.bevkiad'!L32+'3. INT összes'!L32</f>
        <v>0</v>
      </c>
      <c r="M32" s="341">
        <f>+'2. önkorm.bevkiad'!M32+'3. INT összes'!M32</f>
        <v>0</v>
      </c>
      <c r="N32" s="341">
        <f>+'2. önkorm.bevkiad'!N32+'3. INT összes'!N32</f>
        <v>0</v>
      </c>
      <c r="O32" s="341">
        <f>+'2. önkorm.bevkiad'!O32+'3. INT összes'!O32</f>
        <v>0</v>
      </c>
      <c r="P32" s="708"/>
      <c r="Q32" s="1007"/>
      <c r="R32" s="967"/>
    </row>
    <row r="33" spans="1:21" s="984" customFormat="1" ht="12.75" customHeight="1" x14ac:dyDescent="0.2">
      <c r="A33" s="637" t="s">
        <v>26</v>
      </c>
      <c r="B33" s="638" t="s">
        <v>87</v>
      </c>
      <c r="C33" s="985">
        <f>+'2. önkorm.bevkiad'!C33+'3. INT összes'!C33</f>
        <v>2130210000</v>
      </c>
      <c r="D33" s="985">
        <f>+'2. önkorm.bevkiad'!D33+'3. INT összes'!D33</f>
        <v>2130209786</v>
      </c>
      <c r="E33" s="985">
        <f>+'2. önkorm.bevkiad'!E33+'3. INT összes'!E33</f>
        <v>2126951829</v>
      </c>
      <c r="F33" s="985">
        <f>+'2. önkorm.bevkiad'!F33+'3. INT összes'!F33</f>
        <v>700000000</v>
      </c>
      <c r="G33" s="985">
        <f>+'2. önkorm.bevkiad'!G33+'3. INT összes'!G33</f>
        <v>0</v>
      </c>
      <c r="H33" s="985">
        <f>+'2. önkorm.bevkiad'!H33+'3. INT összes'!H33</f>
        <v>0</v>
      </c>
      <c r="I33" s="985">
        <f>+'2. önkorm.bevkiad'!I33+'3. INT összes'!I33</f>
        <v>0</v>
      </c>
      <c r="J33" s="985">
        <f>+'2. önkorm.bevkiad'!J33+'3. INT összes'!J33</f>
        <v>0</v>
      </c>
      <c r="K33" s="985">
        <f>+'2. önkorm.bevkiad'!K33+'3. INT összes'!K33</f>
        <v>0</v>
      </c>
      <c r="L33" s="985">
        <f>+'2. önkorm.bevkiad'!L33+'3. INT összes'!L33</f>
        <v>0</v>
      </c>
      <c r="M33" s="985">
        <f>+'2. önkorm.bevkiad'!M33+'3. INT összes'!M33</f>
        <v>2130210000</v>
      </c>
      <c r="N33" s="985">
        <f>+'2. önkorm.bevkiad'!N33+'3. INT összes'!N33</f>
        <v>2130209786</v>
      </c>
      <c r="O33" s="985">
        <f>+'2. önkorm.bevkiad'!O33+'3. INT összes'!O33</f>
        <v>2126951829</v>
      </c>
      <c r="P33" s="1010"/>
      <c r="Q33" s="1005">
        <f>Q24+Q26+Q27+Q28+Q31+Q32+Q25</f>
        <v>1521296519</v>
      </c>
      <c r="R33" s="968">
        <f>R24+R26+R27+R28+R31+R32</f>
        <v>1889015136</v>
      </c>
    </row>
    <row r="34" spans="1:21" s="984" customFormat="1" ht="12.75" customHeight="1" x14ac:dyDescent="0.2">
      <c r="A34" s="643" t="s">
        <v>27</v>
      </c>
      <c r="B34" s="644" t="s">
        <v>88</v>
      </c>
      <c r="C34" s="341">
        <f>+'2. önkorm.bevkiad'!C34+'3. INT összes'!C34</f>
        <v>5808229000</v>
      </c>
      <c r="D34" s="341">
        <f>+'2. önkorm.bevkiad'!D34+'3. INT összes'!D34</f>
        <v>5810228786</v>
      </c>
      <c r="E34" s="341">
        <f>+'2. önkorm.bevkiad'!E34+'3. INT összes'!E34</f>
        <v>5806970829</v>
      </c>
      <c r="F34" s="341">
        <f>+'2. önkorm.bevkiad'!F34+'3. INT összes'!F34</f>
        <v>700000000</v>
      </c>
      <c r="G34" s="341">
        <f>+'2. önkorm.bevkiad'!G34+'3. INT összes'!G34</f>
        <v>0</v>
      </c>
      <c r="H34" s="341">
        <f>+'2. önkorm.bevkiad'!H34+'3. INT összes'!H34</f>
        <v>0</v>
      </c>
      <c r="I34" s="341">
        <f>+'2. önkorm.bevkiad'!I34+'3. INT összes'!I34</f>
        <v>0</v>
      </c>
      <c r="J34" s="341">
        <f>+'2. önkorm.bevkiad'!J34+'3. INT összes'!J34</f>
        <v>0</v>
      </c>
      <c r="K34" s="341">
        <f>+'2. önkorm.bevkiad'!K34+'3. INT összes'!K34</f>
        <v>0</v>
      </c>
      <c r="L34" s="341">
        <f>+'2. önkorm.bevkiad'!L34+'3. INT összes'!L34</f>
        <v>0</v>
      </c>
      <c r="M34" s="341">
        <f>+'2. önkorm.bevkiad'!M34+'3. INT összes'!M34</f>
        <v>5808229000</v>
      </c>
      <c r="N34" s="341">
        <f>+'2. önkorm.bevkiad'!N34+'3. INT összes'!N34</f>
        <v>5810228786</v>
      </c>
      <c r="O34" s="341">
        <f>+'2. önkorm.bevkiad'!O34+'3. INT összes'!O34</f>
        <v>5806970829</v>
      </c>
      <c r="P34" s="708"/>
      <c r="Q34" s="1005">
        <f>Q23+Q33</f>
        <v>4253295059</v>
      </c>
      <c r="R34" s="968">
        <f>R23+R33</f>
        <v>4427915258</v>
      </c>
      <c r="S34" s="986">
        <f>+'2. önkorm.bevkiad'!O34+'3. INT összes'!O34</f>
        <v>5806970829</v>
      </c>
      <c r="T34" s="987"/>
    </row>
    <row r="35" spans="1:21" ht="12.75" customHeight="1" x14ac:dyDescent="0.2">
      <c r="A35" s="978" t="s">
        <v>28</v>
      </c>
      <c r="B35" s="988" t="s">
        <v>89</v>
      </c>
      <c r="C35" s="342">
        <f>+C28</f>
        <v>1165573000</v>
      </c>
      <c r="D35" s="342">
        <f t="shared" ref="D35" si="3">+D28</f>
        <v>1165573000</v>
      </c>
      <c r="E35" s="342">
        <f>+E28</f>
        <v>1165573000</v>
      </c>
      <c r="F35" s="342">
        <f t="shared" ref="F35:O35" si="4">+F28</f>
        <v>0</v>
      </c>
      <c r="G35" s="342">
        <f t="shared" si="4"/>
        <v>0</v>
      </c>
      <c r="H35" s="342">
        <f t="shared" si="4"/>
        <v>0</v>
      </c>
      <c r="I35" s="342">
        <f t="shared" si="4"/>
        <v>0</v>
      </c>
      <c r="J35" s="342">
        <f t="shared" si="4"/>
        <v>0</v>
      </c>
      <c r="K35" s="342">
        <f t="shared" si="4"/>
        <v>0</v>
      </c>
      <c r="L35" s="342">
        <f t="shared" si="4"/>
        <v>0</v>
      </c>
      <c r="M35" s="342">
        <f t="shared" si="4"/>
        <v>1165573000</v>
      </c>
      <c r="N35" s="342">
        <f t="shared" si="4"/>
        <v>1165573000</v>
      </c>
      <c r="O35" s="342">
        <f t="shared" si="4"/>
        <v>1165573000</v>
      </c>
      <c r="P35" s="699"/>
      <c r="Q35" s="1005">
        <v>1090661351</v>
      </c>
      <c r="R35" s="964">
        <v>956400839</v>
      </c>
    </row>
    <row r="36" spans="1:21" ht="12.75" customHeight="1" x14ac:dyDescent="0.2">
      <c r="A36" s="989" t="s">
        <v>29</v>
      </c>
      <c r="B36" s="988" t="s">
        <v>210</v>
      </c>
      <c r="C36" s="965"/>
      <c r="D36" s="965"/>
      <c r="E36" s="965"/>
      <c r="F36" s="965"/>
      <c r="G36" s="565"/>
      <c r="H36" s="565"/>
      <c r="I36" s="565"/>
      <c r="J36" s="565"/>
      <c r="K36" s="565"/>
      <c r="L36" s="565"/>
      <c r="M36" s="341">
        <f>C36+G36+K36</f>
        <v>0</v>
      </c>
      <c r="N36" s="341">
        <f>C36+I36+K36</f>
        <v>0</v>
      </c>
      <c r="O36" s="341">
        <f>D36+J36+L36</f>
        <v>0</v>
      </c>
      <c r="P36" s="708"/>
      <c r="Q36" s="1007"/>
      <c r="R36" s="967"/>
    </row>
    <row r="37" spans="1:21" ht="15" customHeight="1" x14ac:dyDescent="0.2">
      <c r="A37" s="978" t="s">
        <v>209</v>
      </c>
      <c r="B37" s="1023" t="s">
        <v>63</v>
      </c>
      <c r="C37" s="341">
        <f>C34-C35-C36</f>
        <v>4642656000</v>
      </c>
      <c r="D37" s="341">
        <f>D34-D35-D36</f>
        <v>4644655786</v>
      </c>
      <c r="E37" s="341">
        <f t="shared" ref="E37:O37" si="5">E34-E35-E36</f>
        <v>4641397829</v>
      </c>
      <c r="F37" s="341">
        <f t="shared" si="5"/>
        <v>700000000</v>
      </c>
      <c r="G37" s="341">
        <f t="shared" si="5"/>
        <v>0</v>
      </c>
      <c r="H37" s="341">
        <f t="shared" si="5"/>
        <v>0</v>
      </c>
      <c r="I37" s="341">
        <f t="shared" si="5"/>
        <v>0</v>
      </c>
      <c r="J37" s="341">
        <f t="shared" si="5"/>
        <v>0</v>
      </c>
      <c r="K37" s="341">
        <f t="shared" si="5"/>
        <v>0</v>
      </c>
      <c r="L37" s="341">
        <f t="shared" si="5"/>
        <v>0</v>
      </c>
      <c r="M37" s="341">
        <f t="shared" si="5"/>
        <v>4642656000</v>
      </c>
      <c r="N37" s="341">
        <f t="shared" si="5"/>
        <v>4644655786</v>
      </c>
      <c r="O37" s="341">
        <f t="shared" si="5"/>
        <v>4641397829</v>
      </c>
      <c r="P37" s="708"/>
      <c r="Q37" s="1008">
        <f>Q34-Q35-Q36</f>
        <v>3162633708</v>
      </c>
      <c r="R37" s="969">
        <f>R34-R35-R36</f>
        <v>3471514419</v>
      </c>
    </row>
    <row r="38" spans="1:21" ht="15" customHeight="1" x14ac:dyDescent="0.2">
      <c r="A38" s="956"/>
      <c r="B38" s="99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708"/>
      <c r="Q38" s="971"/>
      <c r="R38" s="972"/>
    </row>
    <row r="39" spans="1:21" ht="12.75" customHeight="1" x14ac:dyDescent="0.2">
      <c r="A39" s="991"/>
      <c r="B39" s="992" t="s">
        <v>5</v>
      </c>
      <c r="C39" s="993"/>
      <c r="E39" s="993"/>
      <c r="F39" s="993"/>
      <c r="G39" s="994"/>
      <c r="H39" s="994"/>
      <c r="I39" s="994"/>
      <c r="J39" s="994"/>
      <c r="K39" s="994"/>
      <c r="L39" s="994"/>
      <c r="M39" s="994"/>
      <c r="N39" s="973"/>
      <c r="O39" s="799" t="s">
        <v>339</v>
      </c>
      <c r="P39" s="698"/>
      <c r="Q39" s="974"/>
      <c r="R39" s="975"/>
    </row>
    <row r="40" spans="1:21" ht="52.5" x14ac:dyDescent="0.2">
      <c r="A40" s="625" t="s">
        <v>223</v>
      </c>
      <c r="B40" s="654" t="s">
        <v>31</v>
      </c>
      <c r="C40" s="753" t="s">
        <v>460</v>
      </c>
      <c r="D40" s="900" t="s">
        <v>459</v>
      </c>
      <c r="E40" s="937" t="s">
        <v>461</v>
      </c>
      <c r="F40" s="753" t="s">
        <v>462</v>
      </c>
      <c r="G40" s="753" t="s">
        <v>463</v>
      </c>
      <c r="H40" s="924" t="s">
        <v>642</v>
      </c>
      <c r="I40" s="937" t="s">
        <v>643</v>
      </c>
      <c r="J40" s="753" t="s">
        <v>644</v>
      </c>
      <c r="K40" s="753" t="s">
        <v>465</v>
      </c>
      <c r="L40" s="925" t="s">
        <v>466</v>
      </c>
      <c r="M40" s="753" t="s">
        <v>467</v>
      </c>
      <c r="N40" s="900" t="s">
        <v>468</v>
      </c>
      <c r="O40" s="338" t="s">
        <v>469</v>
      </c>
      <c r="P40" s="672"/>
      <c r="Q40" s="1009" t="s">
        <v>512</v>
      </c>
      <c r="R40" s="976" t="s">
        <v>364</v>
      </c>
    </row>
    <row r="41" spans="1:21" s="984" customFormat="1" ht="12.75" customHeight="1" x14ac:dyDescent="0.2">
      <c r="A41" s="648" t="s">
        <v>11</v>
      </c>
      <c r="B41" s="636" t="s">
        <v>90</v>
      </c>
      <c r="C41" s="995">
        <f>+'2. önkorm.bevkiad'!C38+'3. INT összes'!C38</f>
        <v>2932916000</v>
      </c>
      <c r="D41" s="995">
        <f>+'2. önkorm.bevkiad'!D38+'3. INT összes'!D38</f>
        <v>2931990000</v>
      </c>
      <c r="E41" s="995">
        <f>+'2. önkorm.bevkiad'!E38+'3. INT összes'!E38</f>
        <v>2894086592</v>
      </c>
      <c r="F41" s="995">
        <f>+'2. önkorm.bevkiad'!F38+'3. INT összes'!F38</f>
        <v>0</v>
      </c>
      <c r="G41" s="995">
        <f>+'2. önkorm.bevkiad'!G38+'3. INT összes'!G38</f>
        <v>104492000</v>
      </c>
      <c r="H41" s="995">
        <f>+'2. önkorm.bevkiad'!H38+'3. INT összes'!H38</f>
        <v>104492000</v>
      </c>
      <c r="I41" s="995">
        <f>+'2. önkorm.bevkiad'!I38+'3. INT összes'!I38</f>
        <v>108692000</v>
      </c>
      <c r="J41" s="995">
        <f>+'2. önkorm.bevkiad'!J38+'3. INT összes'!J38</f>
        <v>0</v>
      </c>
      <c r="K41" s="995">
        <f>+'2. önkorm.bevkiad'!K38+'3. INT összes'!K38</f>
        <v>0</v>
      </c>
      <c r="L41" s="995">
        <f>+'2. önkorm.bevkiad'!L38+'3. INT összes'!L38</f>
        <v>0</v>
      </c>
      <c r="M41" s="341">
        <f>+'2. önkorm.bevkiad'!M38+'3. INT összes'!M38</f>
        <v>3037408000</v>
      </c>
      <c r="N41" s="341">
        <f>+'2. önkorm.bevkiad'!N38+'3. INT összes'!N38</f>
        <v>3036482000</v>
      </c>
      <c r="O41" s="341">
        <f>+'2. önkorm.bevkiad'!O38+'3. INT összes'!O38</f>
        <v>3002778592</v>
      </c>
      <c r="P41" s="708"/>
      <c r="Q41" s="1005">
        <f>SUM(Q42:Q46)</f>
        <v>2229209152</v>
      </c>
      <c r="R41" s="968">
        <f>SUM(R42:R46)</f>
        <v>2279156101</v>
      </c>
      <c r="S41" s="983">
        <f>+M41/$M$57</f>
        <v>0.72803851734030545</v>
      </c>
      <c r="T41" s="983">
        <f>+Q41/$Q$57</f>
        <v>0.798430999412305</v>
      </c>
      <c r="U41" s="983">
        <f>+R41/$R$57</f>
        <v>0.72169862994576339</v>
      </c>
    </row>
    <row r="42" spans="1:21" ht="12.75" customHeight="1" x14ac:dyDescent="0.2">
      <c r="A42" s="650" t="s">
        <v>53</v>
      </c>
      <c r="B42" s="634" t="s">
        <v>6</v>
      </c>
      <c r="C42" s="342">
        <f>+'2. önkorm.bevkiad'!C39+'3. INT összes'!C39</f>
        <v>1047524000</v>
      </c>
      <c r="D42" s="342">
        <f>+'2. önkorm.bevkiad'!D39+'3. INT összes'!D39</f>
        <v>1039125500</v>
      </c>
      <c r="E42" s="342">
        <f>+'2. önkorm.bevkiad'!E39+'3. INT összes'!E39</f>
        <v>1041816812</v>
      </c>
      <c r="F42" s="342">
        <f>+'2. önkorm.bevkiad'!F39+'3. INT összes'!F39</f>
        <v>0</v>
      </c>
      <c r="G42" s="342">
        <f>+'2. önkorm.bevkiad'!G39+'3. INT összes'!G39</f>
        <v>0</v>
      </c>
      <c r="H42" s="342">
        <f>+'2. önkorm.bevkiad'!H39+'3. INT összes'!H39</f>
        <v>0</v>
      </c>
      <c r="I42" s="342">
        <f>+'2. önkorm.bevkiad'!I39+'3. INT összes'!I39</f>
        <v>0</v>
      </c>
      <c r="J42" s="342">
        <f>+'2. önkorm.bevkiad'!J39+'3. INT összes'!J39</f>
        <v>0</v>
      </c>
      <c r="K42" s="342">
        <f>+'2. önkorm.bevkiad'!K39+'3. INT összes'!K39</f>
        <v>0</v>
      </c>
      <c r="L42" s="342">
        <f>+'2. önkorm.bevkiad'!L39+'3. INT összes'!L39</f>
        <v>0</v>
      </c>
      <c r="M42" s="341">
        <f>+'2. önkorm.bevkiad'!M39+'3. INT összes'!M39</f>
        <v>1047524000</v>
      </c>
      <c r="N42" s="341">
        <f>+'2. önkorm.bevkiad'!N39+'3. INT összes'!N39</f>
        <v>1039125500</v>
      </c>
      <c r="O42" s="341">
        <f>+'2. önkorm.bevkiad'!O39+'3. INT összes'!O39</f>
        <v>1041816812</v>
      </c>
      <c r="P42" s="708"/>
      <c r="Q42" s="1005">
        <v>861763703</v>
      </c>
      <c r="R42" s="964">
        <v>747825208</v>
      </c>
      <c r="S42" s="983">
        <f t="shared" ref="S42:S55" si="6">+M42/$M$57</f>
        <v>0.25108178415227261</v>
      </c>
      <c r="T42" s="983">
        <f t="shared" ref="T42:T55" si="7">+Q42/$Q$57</f>
        <v>0.30865603347547121</v>
      </c>
      <c r="U42" s="983">
        <f t="shared" ref="U42:U55" si="8">+R42/$R$57</f>
        <v>0.23680011554088173</v>
      </c>
    </row>
    <row r="43" spans="1:21" ht="12.75" customHeight="1" x14ac:dyDescent="0.2">
      <c r="A43" s="650" t="s">
        <v>54</v>
      </c>
      <c r="B43" s="634" t="s">
        <v>94</v>
      </c>
      <c r="C43" s="342">
        <f>+'2. önkorm.bevkiad'!C40+'3. INT összes'!C40</f>
        <v>171290000</v>
      </c>
      <c r="D43" s="342">
        <f>+'2. önkorm.bevkiad'!D40+'3. INT összes'!D40</f>
        <v>170962000</v>
      </c>
      <c r="E43" s="342">
        <f>+'2. önkorm.bevkiad'!E40+'3. INT összes'!E40</f>
        <v>170962000</v>
      </c>
      <c r="F43" s="342">
        <f>+'2. önkorm.bevkiad'!F40+'3. INT összes'!F40</f>
        <v>0</v>
      </c>
      <c r="G43" s="342">
        <f>+'2. önkorm.bevkiad'!G40+'3. INT összes'!G40</f>
        <v>0</v>
      </c>
      <c r="H43" s="342">
        <f>+'2. önkorm.bevkiad'!H40+'3. INT összes'!H40</f>
        <v>0</v>
      </c>
      <c r="I43" s="342">
        <f>+'2. önkorm.bevkiad'!I40+'3. INT összes'!I40</f>
        <v>0</v>
      </c>
      <c r="J43" s="342">
        <f>+'2. önkorm.bevkiad'!J40+'3. INT összes'!J40</f>
        <v>0</v>
      </c>
      <c r="K43" s="342">
        <f>+'2. önkorm.bevkiad'!K40+'3. INT összes'!K40</f>
        <v>0</v>
      </c>
      <c r="L43" s="342">
        <f>+'2. önkorm.bevkiad'!L40+'3. INT összes'!L40</f>
        <v>0</v>
      </c>
      <c r="M43" s="341">
        <f>+'2. önkorm.bevkiad'!M40+'3. INT összes'!M40</f>
        <v>171290000</v>
      </c>
      <c r="N43" s="341">
        <f>+'2. önkorm.bevkiad'!N40+'3. INT összes'!N40</f>
        <v>170962000</v>
      </c>
      <c r="O43" s="341">
        <f>+'2. önkorm.bevkiad'!O40+'3. INT összes'!O40</f>
        <v>170962000</v>
      </c>
      <c r="P43" s="708"/>
      <c r="Q43" s="1005">
        <v>147703810</v>
      </c>
      <c r="R43" s="964">
        <v>143457146</v>
      </c>
      <c r="S43" s="983">
        <f t="shared" si="6"/>
        <v>4.1056623817156246E-2</v>
      </c>
      <c r="T43" s="983">
        <f t="shared" si="7"/>
        <v>5.2902752767500394E-2</v>
      </c>
      <c r="U43" s="983">
        <f t="shared" si="8"/>
        <v>4.5425947647334645E-2</v>
      </c>
    </row>
    <row r="44" spans="1:21" ht="12.75" customHeight="1" x14ac:dyDescent="0.2">
      <c r="A44" s="650" t="s">
        <v>55</v>
      </c>
      <c r="B44" s="634" t="s">
        <v>95</v>
      </c>
      <c r="C44" s="342">
        <f>+'2. önkorm.bevkiad'!C41+'3. INT összes'!C41</f>
        <v>1032874000</v>
      </c>
      <c r="D44" s="342">
        <f>+'2. önkorm.bevkiad'!D41+'3. INT összes'!D41</f>
        <v>1082099500</v>
      </c>
      <c r="E44" s="342">
        <f>+'2. önkorm.bevkiad'!E41+'3. INT összes'!E41</f>
        <v>1115686281</v>
      </c>
      <c r="F44" s="342">
        <f>+'2. önkorm.bevkiad'!F41+'3. INT összes'!F41</f>
        <v>0</v>
      </c>
      <c r="G44" s="342">
        <f>+'2. önkorm.bevkiad'!G41+'3. INT összes'!G41</f>
        <v>0</v>
      </c>
      <c r="H44" s="342">
        <f>+'2. önkorm.bevkiad'!H41+'3. INT összes'!H41</f>
        <v>0</v>
      </c>
      <c r="I44" s="342">
        <f>+'2. önkorm.bevkiad'!I41+'3. INT összes'!I41</f>
        <v>0</v>
      </c>
      <c r="J44" s="342">
        <f>+'2. önkorm.bevkiad'!J41+'3. INT összes'!J41</f>
        <v>0</v>
      </c>
      <c r="K44" s="342">
        <f>+'2. önkorm.bevkiad'!K41+'3. INT összes'!K41</f>
        <v>0</v>
      </c>
      <c r="L44" s="342">
        <f>+'2. önkorm.bevkiad'!L41+'3. INT összes'!L41</f>
        <v>0</v>
      </c>
      <c r="M44" s="341">
        <f>+'2. önkorm.bevkiad'!M41+'3. INT összes'!M41</f>
        <v>1032874000</v>
      </c>
      <c r="N44" s="341">
        <f>+'2. önkorm.bevkiad'!N41+'3. INT összes'!N41</f>
        <v>1082099500</v>
      </c>
      <c r="O44" s="341">
        <f>+'2. önkorm.bevkiad'!O41+'3. INT összes'!O41</f>
        <v>1115686281</v>
      </c>
      <c r="P44" s="708"/>
      <c r="Q44" s="1005">
        <v>607876234</v>
      </c>
      <c r="R44" s="964">
        <v>805063615</v>
      </c>
      <c r="S44" s="983">
        <f t="shared" si="6"/>
        <v>0.24757031507105751</v>
      </c>
      <c r="T44" s="983">
        <f t="shared" si="7"/>
        <v>0.21772171022901315</v>
      </c>
      <c r="U44" s="983">
        <f t="shared" si="8"/>
        <v>0.25492475381995938</v>
      </c>
    </row>
    <row r="45" spans="1:21" ht="12.75" customHeight="1" x14ac:dyDescent="0.2">
      <c r="A45" s="650" t="s">
        <v>56</v>
      </c>
      <c r="B45" s="634" t="s">
        <v>96</v>
      </c>
      <c r="C45" s="342">
        <f>+'2. önkorm.bevkiad'!C42+'3. INT összes'!C42</f>
        <v>0</v>
      </c>
      <c r="D45" s="342">
        <f>+'2. önkorm.bevkiad'!D42+'3. INT összes'!D42</f>
        <v>0</v>
      </c>
      <c r="E45" s="342">
        <f>+'2. önkorm.bevkiad'!E42+'3. INT összes'!E42</f>
        <v>0</v>
      </c>
      <c r="F45" s="342">
        <f>+'2. önkorm.bevkiad'!F42+'3. INT összes'!F42</f>
        <v>0</v>
      </c>
      <c r="G45" s="342">
        <f>+'2. önkorm.bevkiad'!G42+'3. INT összes'!G42</f>
        <v>17000000</v>
      </c>
      <c r="H45" s="965">
        <f>+'2. önkorm.bevkiad'!H42+'3. INT összes'!H42</f>
        <v>17000000</v>
      </c>
      <c r="I45" s="965">
        <f>+'2. önkorm.bevkiad'!I42+'3. INT összes'!I42</f>
        <v>17000000</v>
      </c>
      <c r="J45" s="965">
        <f>+'2. önkorm.bevkiad'!J42+'3. INT összes'!J42</f>
        <v>0</v>
      </c>
      <c r="K45" s="342">
        <f>+'2. önkorm.bevkiad'!K42+'3. INT összes'!K42</f>
        <v>0</v>
      </c>
      <c r="L45" s="342">
        <f>+'2. önkorm.bevkiad'!L42+'3. INT összes'!L42</f>
        <v>0</v>
      </c>
      <c r="M45" s="341">
        <f>+'2. önkorm.bevkiad'!M42+'3. INT összes'!M42</f>
        <v>17000000</v>
      </c>
      <c r="N45" s="341">
        <f>+'2. önkorm.bevkiad'!N42+'3. INT összes'!N42</f>
        <v>17000000</v>
      </c>
      <c r="O45" s="341">
        <f>+'2. önkorm.bevkiad'!O42+'3. INT összes'!O42</f>
        <v>17000000</v>
      </c>
      <c r="P45" s="708"/>
      <c r="Q45" s="1005">
        <v>17466913</v>
      </c>
      <c r="R45" s="964">
        <v>16509699</v>
      </c>
      <c r="S45" s="983">
        <f t="shared" si="6"/>
        <v>4.0747422785431505E-3</v>
      </c>
      <c r="T45" s="983">
        <f t="shared" si="7"/>
        <v>6.2560862854549159E-3</v>
      </c>
      <c r="U45" s="983">
        <f t="shared" si="8"/>
        <v>5.2278240809785319E-3</v>
      </c>
    </row>
    <row r="46" spans="1:21" ht="12.75" customHeight="1" x14ac:dyDescent="0.2">
      <c r="A46" s="650" t="s">
        <v>57</v>
      </c>
      <c r="B46" s="634" t="s">
        <v>97</v>
      </c>
      <c r="C46" s="342">
        <f>+'2. önkorm.bevkiad'!C43+'3. INT összes'!C43</f>
        <v>544632000</v>
      </c>
      <c r="D46" s="342">
        <f>+'2. önkorm.bevkiad'!D43+'3. INT összes'!D43</f>
        <v>544632000</v>
      </c>
      <c r="E46" s="342">
        <f>+'2. önkorm.bevkiad'!E43+'3. INT összes'!E43</f>
        <v>547623513</v>
      </c>
      <c r="F46" s="342">
        <f>+'2. önkorm.bevkiad'!F43+'3. INT összes'!F43</f>
        <v>0</v>
      </c>
      <c r="G46" s="342">
        <f>+'2. önkorm.bevkiad'!G43+'3. INT összes'!G43</f>
        <v>87492000</v>
      </c>
      <c r="H46" s="342">
        <f>+'2. önkorm.bevkiad'!H43+'3. INT összes'!H43</f>
        <v>87492000</v>
      </c>
      <c r="I46" s="342">
        <f>+'2. önkorm.bevkiad'!I43+'3. INT összes'!I43</f>
        <v>91692000</v>
      </c>
      <c r="J46" s="342">
        <f>+'2. önkorm.bevkiad'!J43+'3. INT összes'!J43</f>
        <v>0</v>
      </c>
      <c r="K46" s="342">
        <f>+'2. önkorm.bevkiad'!K43+'3. INT összes'!K43</f>
        <v>0</v>
      </c>
      <c r="L46" s="342">
        <f>+'2. önkorm.bevkiad'!L43+'3. INT összes'!L43</f>
        <v>0</v>
      </c>
      <c r="M46" s="342">
        <f>+'2. önkorm.bevkiad'!M43+'3. INT összes'!M43</f>
        <v>632124000</v>
      </c>
      <c r="N46" s="342">
        <f>+'2. önkorm.bevkiad'!N43+'3. INT összes'!N43</f>
        <v>632124000</v>
      </c>
      <c r="O46" s="342">
        <f>+'2. önkorm.bevkiad'!O43+'3. INT összes'!O43</f>
        <v>639315513</v>
      </c>
      <c r="P46" s="699"/>
      <c r="Q46" s="1012">
        <f>SUM(Q47:Q50)</f>
        <v>594398492</v>
      </c>
      <c r="R46" s="1013">
        <f>+R47+R49+R50</f>
        <v>566300433</v>
      </c>
      <c r="S46" s="1014">
        <f t="shared" si="6"/>
        <v>0.15151425812245942</v>
      </c>
      <c r="T46" s="1014">
        <f t="shared" si="7"/>
        <v>0.2128944166548653</v>
      </c>
      <c r="U46" s="1014">
        <f t="shared" si="8"/>
        <v>0.17931998885660907</v>
      </c>
    </row>
    <row r="47" spans="1:21" s="958" customFormat="1" ht="12.75" customHeight="1" x14ac:dyDescent="0.2">
      <c r="A47" s="650" t="s">
        <v>91</v>
      </c>
      <c r="B47" s="634" t="s">
        <v>330</v>
      </c>
      <c r="C47" s="977">
        <f>+'2. önkorm.bevkiad'!C44+'3. INT összes'!C44</f>
        <v>0</v>
      </c>
      <c r="D47" s="977">
        <f>+'2. önkorm.bevkiad'!D44+'3. INT összes'!D44</f>
        <v>0</v>
      </c>
      <c r="E47" s="977">
        <f>+'2. önkorm.bevkiad'!E44+'3. INT összes'!E44</f>
        <v>0</v>
      </c>
      <c r="F47" s="977">
        <f>+'2. önkorm.bevkiad'!F44+'3. INT összes'!F44</f>
        <v>0</v>
      </c>
      <c r="G47" s="977">
        <f>+'2. önkorm.bevkiad'!G44+'3. INT összes'!G44</f>
        <v>0</v>
      </c>
      <c r="H47" s="977">
        <f>+'2. önkorm.bevkiad'!H44+'3. INT összes'!H44</f>
        <v>0</v>
      </c>
      <c r="I47" s="977">
        <f>+'2. önkorm.bevkiad'!I44+'3. INT összes'!I44</f>
        <v>0</v>
      </c>
      <c r="J47" s="977">
        <f>+'2. önkorm.bevkiad'!J44+'3. INT összes'!J44</f>
        <v>0</v>
      </c>
      <c r="K47" s="977">
        <f>+'2. önkorm.bevkiad'!K44+'3. INT összes'!K44</f>
        <v>0</v>
      </c>
      <c r="L47" s="977">
        <f>+'2. önkorm.bevkiad'!L44+'3. INT összes'!L44</f>
        <v>0</v>
      </c>
      <c r="M47" s="968">
        <f>+'2. önkorm.bevkiad'!M44+'3. INT összes'!M44</f>
        <v>0</v>
      </c>
      <c r="N47" s="968">
        <f>+'2. önkorm.bevkiad'!N44+'3. INT összes'!N44</f>
        <v>0</v>
      </c>
      <c r="O47" s="968">
        <f>+'2. önkorm.bevkiad'!O44+'3. INT összes'!O44</f>
        <v>0</v>
      </c>
      <c r="P47" s="1011"/>
      <c r="Q47" s="1005">
        <v>29984898</v>
      </c>
      <c r="R47" s="964">
        <v>9662222</v>
      </c>
      <c r="S47" s="983">
        <f t="shared" si="6"/>
        <v>0</v>
      </c>
      <c r="T47" s="983">
        <f t="shared" si="7"/>
        <v>1.0739625779813784E-2</v>
      </c>
      <c r="U47" s="983">
        <f t="shared" si="8"/>
        <v>3.0595589203268065E-3</v>
      </c>
    </row>
    <row r="48" spans="1:21" ht="12.75" customHeight="1" x14ac:dyDescent="0.2">
      <c r="A48" s="650" t="s">
        <v>92</v>
      </c>
      <c r="B48" s="634" t="s">
        <v>421</v>
      </c>
      <c r="C48" s="342">
        <f>+'2. önkorm.bevkiad'!C45+'3. INT összes'!C45</f>
        <v>544632000</v>
      </c>
      <c r="D48" s="342">
        <f>+'2. önkorm.bevkiad'!D45+'3. INT összes'!D45</f>
        <v>544632000</v>
      </c>
      <c r="E48" s="342">
        <f>+'2. önkorm.bevkiad'!E45+'3. INT összes'!E45</f>
        <v>547623513</v>
      </c>
      <c r="F48" s="342">
        <f>+'2. önkorm.bevkiad'!F45+'3. INT összes'!F45</f>
        <v>0</v>
      </c>
      <c r="G48" s="342">
        <f>+'2. önkorm.bevkiad'!G45+'3. INT összes'!G45</f>
        <v>87492000</v>
      </c>
      <c r="H48" s="342">
        <f>+'2. önkorm.bevkiad'!H45+'3. INT összes'!H45</f>
        <v>87492000</v>
      </c>
      <c r="I48" s="342">
        <f>+'2. önkorm.bevkiad'!I45+'3. INT összes'!I45</f>
        <v>91692000</v>
      </c>
      <c r="J48" s="342">
        <f>+'2. önkorm.bevkiad'!J45+'3. INT összes'!J45</f>
        <v>0</v>
      </c>
      <c r="K48" s="342">
        <f>+'2. önkorm.bevkiad'!K45+'3. INT összes'!K45</f>
        <v>0</v>
      </c>
      <c r="L48" s="342">
        <f>+'2. önkorm.bevkiad'!L45+'3. INT összes'!L45</f>
        <v>0</v>
      </c>
      <c r="M48" s="342">
        <f>+'2. önkorm.bevkiad'!M45+'3. INT összes'!M45</f>
        <v>632124000</v>
      </c>
      <c r="N48" s="342">
        <f>+'2. önkorm.bevkiad'!N45+'3. INT összes'!N45</f>
        <v>632124000</v>
      </c>
      <c r="O48" s="342">
        <f>+'2. önkorm.bevkiad'!O45+'3. INT összes'!O45</f>
        <v>639315513</v>
      </c>
      <c r="P48" s="699"/>
      <c r="Q48" s="1017"/>
      <c r="R48" s="965"/>
      <c r="S48" s="1014">
        <f t="shared" si="6"/>
        <v>0.15151425812245942</v>
      </c>
      <c r="T48" s="1014">
        <f t="shared" si="7"/>
        <v>0</v>
      </c>
      <c r="U48" s="1014">
        <f t="shared" si="8"/>
        <v>0</v>
      </c>
    </row>
    <row r="49" spans="1:21" s="958" customFormat="1" ht="12.75" customHeight="1" x14ac:dyDescent="0.2">
      <c r="A49" s="1015" t="s">
        <v>329</v>
      </c>
      <c r="B49" s="1016" t="s">
        <v>98</v>
      </c>
      <c r="C49" s="977">
        <f>+'2. önkorm.bevkiad'!C46+'3. INT összes'!C46</f>
        <v>241272000</v>
      </c>
      <c r="D49" s="977">
        <f>+'2. önkorm.bevkiad'!D46+'3. INT összes'!D46</f>
        <v>241272000</v>
      </c>
      <c r="E49" s="977">
        <f>+'2. önkorm.bevkiad'!E46+'3. INT összes'!E46</f>
        <v>244263513</v>
      </c>
      <c r="F49" s="977">
        <f>+'2. önkorm.bevkiad'!F46+'3. INT összes'!F46</f>
        <v>0</v>
      </c>
      <c r="G49" s="977">
        <f>+'2. önkorm.bevkiad'!G46+'3. INT összes'!G46</f>
        <v>40392000</v>
      </c>
      <c r="H49" s="977">
        <f>+'2. önkorm.bevkiad'!H46+'3. INT összes'!H46</f>
        <v>40392000</v>
      </c>
      <c r="I49" s="977">
        <f>+'2. önkorm.bevkiad'!I46+'3. INT összes'!I46</f>
        <v>44592000</v>
      </c>
      <c r="J49" s="977">
        <f>+'2. önkorm.bevkiad'!J46+'3. INT összes'!J46</f>
        <v>0</v>
      </c>
      <c r="K49" s="977">
        <f>+'2. önkorm.bevkiad'!K46+'3. INT összes'!K46</f>
        <v>0</v>
      </c>
      <c r="L49" s="977">
        <f>+'2. önkorm.bevkiad'!L46+'3. INT összes'!L46</f>
        <v>0</v>
      </c>
      <c r="M49" s="968">
        <f>+'2. önkorm.bevkiad'!M46+'3. INT összes'!M46</f>
        <v>281664000</v>
      </c>
      <c r="N49" s="968">
        <f>+'2. önkorm.bevkiad'!N46+'3. INT összes'!N46</f>
        <v>281664000</v>
      </c>
      <c r="O49" s="968">
        <f>+'2. önkorm.bevkiad'!O46+'3. INT összes'!O46</f>
        <v>288855513</v>
      </c>
      <c r="P49" s="1011"/>
      <c r="Q49" s="1005">
        <v>304479236</v>
      </c>
      <c r="R49" s="964">
        <v>302735947</v>
      </c>
      <c r="S49" s="1018">
        <f t="shared" si="6"/>
        <v>6.7512247596681049E-2</v>
      </c>
      <c r="T49" s="1018">
        <f t="shared" si="7"/>
        <v>0.10905466653125201</v>
      </c>
      <c r="U49" s="1018">
        <f t="shared" si="8"/>
        <v>9.586184908061865E-2</v>
      </c>
    </row>
    <row r="50" spans="1:21" s="958" customFormat="1" ht="12.75" customHeight="1" x14ac:dyDescent="0.2">
      <c r="A50" s="1015" t="s">
        <v>420</v>
      </c>
      <c r="B50" s="1016" t="s">
        <v>99</v>
      </c>
      <c r="C50" s="977">
        <f>+'2. önkorm.bevkiad'!C47+'3. INT összes'!C47</f>
        <v>303360000</v>
      </c>
      <c r="D50" s="977">
        <f>+'2. önkorm.bevkiad'!D47+'3. INT összes'!D47</f>
        <v>303360000</v>
      </c>
      <c r="E50" s="977">
        <f>+'2. önkorm.bevkiad'!E47+'3. INT összes'!E47</f>
        <v>303360000</v>
      </c>
      <c r="F50" s="977">
        <f>+'2. önkorm.bevkiad'!F47+'3. INT összes'!F47</f>
        <v>0</v>
      </c>
      <c r="G50" s="977">
        <f>+'2. önkorm.bevkiad'!G47+'3. INT összes'!G47</f>
        <v>47100000</v>
      </c>
      <c r="H50" s="977">
        <f>+'2. önkorm.bevkiad'!H47+'3. INT összes'!H47</f>
        <v>47100000</v>
      </c>
      <c r="I50" s="977">
        <f>+'2. önkorm.bevkiad'!I47+'3. INT összes'!I47</f>
        <v>47100000</v>
      </c>
      <c r="J50" s="977">
        <f>+'2. önkorm.bevkiad'!J47+'3. INT összes'!J47</f>
        <v>0</v>
      </c>
      <c r="K50" s="977">
        <f>+'2. önkorm.bevkiad'!K47+'3. INT összes'!K47</f>
        <v>0</v>
      </c>
      <c r="L50" s="977">
        <f>+'2. önkorm.bevkiad'!L47+'3. INT összes'!L47</f>
        <v>0</v>
      </c>
      <c r="M50" s="968">
        <f>+'2. önkorm.bevkiad'!M47+'3. INT összes'!M47</f>
        <v>350460000</v>
      </c>
      <c r="N50" s="968">
        <f>+'2. önkorm.bevkiad'!N47+'3. INT összes'!N47</f>
        <v>350460000</v>
      </c>
      <c r="O50" s="968">
        <f>+'2. önkorm.bevkiad'!O47+'3. INT összes'!O47</f>
        <v>350460000</v>
      </c>
      <c r="P50" s="1011"/>
      <c r="Q50" s="1005">
        <v>259934358</v>
      </c>
      <c r="R50" s="964">
        <v>253902264</v>
      </c>
      <c r="S50" s="1018">
        <f t="shared" si="6"/>
        <v>8.4002010525778381E-2</v>
      </c>
      <c r="T50" s="1018">
        <f t="shared" si="7"/>
        <v>9.3100124343799509E-2</v>
      </c>
      <c r="U50" s="1018">
        <f t="shared" si="8"/>
        <v>8.0398580855663607E-2</v>
      </c>
    </row>
    <row r="51" spans="1:21" s="984" customFormat="1" ht="12.75" customHeight="1" x14ac:dyDescent="0.2">
      <c r="A51" s="651" t="s">
        <v>93</v>
      </c>
      <c r="B51" s="636" t="s">
        <v>8</v>
      </c>
      <c r="C51" s="341">
        <f>+'2. önkorm.bevkiad'!C48+'3. INT összes'!C48</f>
        <v>136596000</v>
      </c>
      <c r="D51" s="341">
        <f>+'2. önkorm.bevkiad'!D48+'3. INT összes'!D48</f>
        <v>95171000</v>
      </c>
      <c r="E51" s="341">
        <f>+'2. önkorm.bevkiad'!E48+'3. INT összes'!E48</f>
        <v>17997986</v>
      </c>
      <c r="F51" s="341">
        <f>+'2. önkorm.bevkiad'!F48+'3. INT összes'!F48</f>
        <v>0</v>
      </c>
      <c r="G51" s="341">
        <f>+'2. önkorm.bevkiad'!G48+'3. INT összes'!G48</f>
        <v>0</v>
      </c>
      <c r="H51" s="341">
        <f>+'2. önkorm.bevkiad'!H48+'3. INT összes'!H48</f>
        <v>0</v>
      </c>
      <c r="I51" s="341">
        <f>+'2. önkorm.bevkiad'!I48+'3. INT összes'!I48</f>
        <v>0</v>
      </c>
      <c r="J51" s="341">
        <f>+'2. önkorm.bevkiad'!J48+'3. INT összes'!J48</f>
        <v>0</v>
      </c>
      <c r="K51" s="341">
        <f>+'2. önkorm.bevkiad'!K48+'3. INT összes'!K48</f>
        <v>0</v>
      </c>
      <c r="L51" s="341">
        <f>+'2. önkorm.bevkiad'!L48+'3. INT összes'!L48</f>
        <v>0</v>
      </c>
      <c r="M51" s="341">
        <f>+'2. önkorm.bevkiad'!M48+'3. INT összes'!M48</f>
        <v>136596000</v>
      </c>
      <c r="N51" s="341">
        <f>+'2. önkorm.bevkiad'!N48+'3. INT összes'!N48</f>
        <v>95171000</v>
      </c>
      <c r="O51" s="341">
        <f>+'2. önkorm.bevkiad'!O48+'3. INT összes'!O48</f>
        <v>17997986</v>
      </c>
      <c r="P51" s="708"/>
      <c r="Q51" s="1019">
        <v>0</v>
      </c>
      <c r="R51" s="1020">
        <v>0</v>
      </c>
      <c r="S51" s="983">
        <f t="shared" si="6"/>
        <v>3.2740793898816477E-2</v>
      </c>
      <c r="T51" s="983">
        <f t="shared" si="7"/>
        <v>0</v>
      </c>
      <c r="U51" s="983">
        <f t="shared" si="8"/>
        <v>0</v>
      </c>
    </row>
    <row r="52" spans="1:21" s="958" customFormat="1" ht="12.75" customHeight="1" x14ac:dyDescent="0.2">
      <c r="A52" s="1015"/>
      <c r="B52" s="1016" t="s">
        <v>250</v>
      </c>
      <c r="C52" s="977">
        <f>+'2. önkorm.bevkiad'!C49+'3. INT összes'!C49</f>
        <v>109596000</v>
      </c>
      <c r="D52" s="977">
        <f>+'2. önkorm.bevkiad'!D49+'3. INT összes'!D49</f>
        <v>68171000</v>
      </c>
      <c r="E52" s="977">
        <f>+'2. önkorm.bevkiad'!E49+'3. INT összes'!E49</f>
        <v>9000000</v>
      </c>
      <c r="F52" s="977">
        <f>+'2. önkorm.bevkiad'!F49+'3. INT összes'!F49</f>
        <v>0</v>
      </c>
      <c r="G52" s="977">
        <f>+'2. önkorm.bevkiad'!G49+'3. INT összes'!G49</f>
        <v>0</v>
      </c>
      <c r="H52" s="977">
        <f>+'2. önkorm.bevkiad'!H49+'3. INT összes'!H49</f>
        <v>0</v>
      </c>
      <c r="I52" s="977">
        <f>+'2. önkorm.bevkiad'!I49+'3. INT összes'!I49</f>
        <v>0</v>
      </c>
      <c r="J52" s="977">
        <f>+'2. önkorm.bevkiad'!J49+'3. INT összes'!J49</f>
        <v>0</v>
      </c>
      <c r="K52" s="977">
        <f>+'2. önkorm.bevkiad'!K49+'3. INT összes'!K49</f>
        <v>0</v>
      </c>
      <c r="L52" s="977">
        <f>+'2. önkorm.bevkiad'!L49+'3. INT összes'!L49</f>
        <v>0</v>
      </c>
      <c r="M52" s="968">
        <f>+'2. önkorm.bevkiad'!M49+'3. INT összes'!M49</f>
        <v>109596000</v>
      </c>
      <c r="N52" s="968">
        <f>+'2. önkorm.bevkiad'!N49+'3. INT összes'!N49</f>
        <v>68171000</v>
      </c>
      <c r="O52" s="968">
        <f>+'2. önkorm.bevkiad'!O49+'3. INT összes'!O49</f>
        <v>9000000</v>
      </c>
      <c r="P52" s="1011"/>
      <c r="Q52" s="1005">
        <v>0</v>
      </c>
      <c r="R52" s="964">
        <v>0</v>
      </c>
      <c r="S52" s="1018">
        <f t="shared" si="6"/>
        <v>2.6269144397600887E-2</v>
      </c>
      <c r="T52" s="1018">
        <f t="shared" si="7"/>
        <v>0</v>
      </c>
      <c r="U52" s="1018">
        <f t="shared" si="8"/>
        <v>0</v>
      </c>
    </row>
    <row r="53" spans="1:21" s="984" customFormat="1" ht="12.75" customHeight="1" x14ac:dyDescent="0.2">
      <c r="A53" s="651" t="s">
        <v>12</v>
      </c>
      <c r="B53" s="636" t="s">
        <v>100</v>
      </c>
      <c r="C53" s="341">
        <f>+'2. önkorm.bevkiad'!C50+'3. INT összes'!C50</f>
        <v>1134635000</v>
      </c>
      <c r="D53" s="341">
        <f>+'2. önkorm.bevkiad'!D50+'3. INT összes'!D50</f>
        <v>1137561000</v>
      </c>
      <c r="E53" s="341">
        <f>+'2. önkorm.bevkiad'!E50+'3. INT összes'!E50</f>
        <v>1168006451</v>
      </c>
      <c r="F53" s="341">
        <f>+'2. önkorm.bevkiad'!F50+'3. INT összes'!F50</f>
        <v>0</v>
      </c>
      <c r="G53" s="341">
        <f>+'2. önkorm.bevkiad'!G50+'3. INT összes'!G50</f>
        <v>0</v>
      </c>
      <c r="H53" s="341">
        <f>+'2. önkorm.bevkiad'!H50+'3. INT összes'!H50</f>
        <v>0</v>
      </c>
      <c r="I53" s="341">
        <f>+'2. önkorm.bevkiad'!I50+'3. INT összes'!I50</f>
        <v>0</v>
      </c>
      <c r="J53" s="341">
        <f>+'2. önkorm.bevkiad'!J50+'3. INT összes'!J50</f>
        <v>0</v>
      </c>
      <c r="K53" s="341">
        <f>+'2. önkorm.bevkiad'!K50+'3. INT összes'!K50</f>
        <v>0</v>
      </c>
      <c r="L53" s="341">
        <f>+'2. önkorm.bevkiad'!L50+'3. INT összes'!L50</f>
        <v>0</v>
      </c>
      <c r="M53" s="341">
        <f>+'2. önkorm.bevkiad'!M50+'3. INT összes'!M50</f>
        <v>1134635000</v>
      </c>
      <c r="N53" s="341">
        <f>+'2. önkorm.bevkiad'!N50+'3. INT összes'!N50</f>
        <v>1137561000</v>
      </c>
      <c r="O53" s="341">
        <f>+'2. önkorm.bevkiad'!O50+'3. INT összes'!O50</f>
        <v>1168006451</v>
      </c>
      <c r="P53" s="708"/>
      <c r="Q53" s="1005">
        <f>+Q54+Q55+Q56</f>
        <v>562778075</v>
      </c>
      <c r="R53" s="968">
        <f>+R54+R55</f>
        <v>878888000</v>
      </c>
      <c r="S53" s="983">
        <f t="shared" si="6"/>
        <v>0.27196148265969455</v>
      </c>
      <c r="T53" s="983">
        <f t="shared" si="7"/>
        <v>0.20156900058769503</v>
      </c>
      <c r="U53" s="983">
        <f t="shared" si="8"/>
        <v>0.27830137005423661</v>
      </c>
    </row>
    <row r="54" spans="1:21" ht="12.75" customHeight="1" x14ac:dyDescent="0.2">
      <c r="A54" s="650" t="s">
        <v>49</v>
      </c>
      <c r="B54" s="634" t="s">
        <v>9</v>
      </c>
      <c r="C54" s="342">
        <f>+'2. önkorm.bevkiad'!C51+'3. INT összes'!C51</f>
        <v>955565000</v>
      </c>
      <c r="D54" s="342">
        <f>+'2. önkorm.bevkiad'!D51+'3. INT összes'!D51</f>
        <v>958491000</v>
      </c>
      <c r="E54" s="342">
        <f>+'2. önkorm.bevkiad'!E51+'3. INT összes'!E51</f>
        <v>988778860</v>
      </c>
      <c r="F54" s="342">
        <f>+'2. önkorm.bevkiad'!F51+'3. INT összes'!F51</f>
        <v>0</v>
      </c>
      <c r="G54" s="342">
        <f>+'2. önkorm.bevkiad'!G51+'3. INT összes'!G51</f>
        <v>0</v>
      </c>
      <c r="H54" s="342">
        <f>+'2. önkorm.bevkiad'!H51+'3. INT összes'!H51</f>
        <v>0</v>
      </c>
      <c r="I54" s="342">
        <f>+'2. önkorm.bevkiad'!I51+'3. INT összes'!I51</f>
        <v>0</v>
      </c>
      <c r="J54" s="342">
        <f>+'2. önkorm.bevkiad'!J51+'3. INT összes'!J51</f>
        <v>0</v>
      </c>
      <c r="K54" s="342">
        <f>+'2. önkorm.bevkiad'!K51+'3. INT összes'!K51</f>
        <v>0</v>
      </c>
      <c r="L54" s="342">
        <f>+'2. önkorm.bevkiad'!L51+'3. INT összes'!L51</f>
        <v>0</v>
      </c>
      <c r="M54" s="341">
        <f>+'2. önkorm.bevkiad'!M51+'3. INT összes'!M51</f>
        <v>955565000</v>
      </c>
      <c r="N54" s="341">
        <f>+'2. önkorm.bevkiad'!N51+'3. INT összes'!N51</f>
        <v>958491000</v>
      </c>
      <c r="O54" s="341">
        <f>+'2. önkorm.bevkiad'!O51+'3. INT összes'!O51</f>
        <v>988778860</v>
      </c>
      <c r="P54" s="708"/>
      <c r="Q54" s="1005">
        <v>494510867</v>
      </c>
      <c r="R54" s="964">
        <v>685518986</v>
      </c>
      <c r="S54" s="983">
        <f t="shared" si="6"/>
        <v>0.22904006502329913</v>
      </c>
      <c r="T54" s="983">
        <f t="shared" si="7"/>
        <v>0.17711788299667605</v>
      </c>
      <c r="U54" s="983">
        <f t="shared" si="8"/>
        <v>0.21707074508013655</v>
      </c>
    </row>
    <row r="55" spans="1:21" ht="12.75" customHeight="1" x14ac:dyDescent="0.2">
      <c r="A55" s="650" t="s">
        <v>50</v>
      </c>
      <c r="B55" s="634" t="s">
        <v>10</v>
      </c>
      <c r="C55" s="342">
        <f>+'2. önkorm.bevkiad'!C52+'3. INT összes'!C52</f>
        <v>179070000</v>
      </c>
      <c r="D55" s="342">
        <f>+'2. önkorm.bevkiad'!D52+'3. INT összes'!D52</f>
        <v>179070000</v>
      </c>
      <c r="E55" s="342">
        <f>+'2. önkorm.bevkiad'!E52+'3. INT összes'!E52</f>
        <v>179227591</v>
      </c>
      <c r="F55" s="342">
        <f>+'2. önkorm.bevkiad'!F52+'3. INT összes'!F52</f>
        <v>0</v>
      </c>
      <c r="G55" s="342">
        <f>+'2. önkorm.bevkiad'!G52+'3. INT összes'!G52</f>
        <v>0</v>
      </c>
      <c r="H55" s="342">
        <f>+'2. önkorm.bevkiad'!H52+'3. INT összes'!H52</f>
        <v>0</v>
      </c>
      <c r="I55" s="342">
        <f>+'2. önkorm.bevkiad'!I52+'3. INT összes'!I52</f>
        <v>0</v>
      </c>
      <c r="J55" s="342">
        <f>+'2. önkorm.bevkiad'!J52+'3. INT összes'!J52</f>
        <v>0</v>
      </c>
      <c r="K55" s="342">
        <f>+'2. önkorm.bevkiad'!K52+'3. INT összes'!K52</f>
        <v>0</v>
      </c>
      <c r="L55" s="342">
        <f>+'2. önkorm.bevkiad'!L52+'3. INT összes'!L52</f>
        <v>0</v>
      </c>
      <c r="M55" s="341">
        <f>+'2. önkorm.bevkiad'!M52+'3. INT összes'!M52</f>
        <v>179070000</v>
      </c>
      <c r="N55" s="341">
        <f>+'2. önkorm.bevkiad'!N52+'3. INT összes'!N52</f>
        <v>179070000</v>
      </c>
      <c r="O55" s="341">
        <f>+'2. önkorm.bevkiad'!O52+'3. INT összes'!O52</f>
        <v>179227591</v>
      </c>
      <c r="P55" s="708"/>
      <c r="Q55" s="1005">
        <v>68267208</v>
      </c>
      <c r="R55" s="964">
        <v>193369014</v>
      </c>
      <c r="S55" s="983">
        <f t="shared" si="6"/>
        <v>4.2921417636395405E-2</v>
      </c>
      <c r="T55" s="983">
        <f t="shared" si="7"/>
        <v>2.4451117591018978E-2</v>
      </c>
      <c r="U55" s="983">
        <f t="shared" si="8"/>
        <v>6.1230624974100069E-2</v>
      </c>
    </row>
    <row r="56" spans="1:21" ht="12.75" customHeight="1" x14ac:dyDescent="0.2">
      <c r="A56" s="650" t="s">
        <v>58</v>
      </c>
      <c r="B56" s="634" t="s">
        <v>101</v>
      </c>
      <c r="C56" s="342">
        <f>+'2. önkorm.bevkiad'!C53+'3. INT összes'!C53</f>
        <v>0</v>
      </c>
      <c r="D56" s="342">
        <f>+'2. önkorm.bevkiad'!D53+'3. INT összes'!D53</f>
        <v>0</v>
      </c>
      <c r="E56" s="342">
        <f>+'2. önkorm.bevkiad'!E53+'3. INT összes'!E53</f>
        <v>0</v>
      </c>
      <c r="F56" s="342">
        <f>+'2. önkorm.bevkiad'!F53+'3. INT összes'!F53</f>
        <v>0</v>
      </c>
      <c r="G56" s="342">
        <f>+'2. önkorm.bevkiad'!G53+'3. INT összes'!G53</f>
        <v>0</v>
      </c>
      <c r="H56" s="342">
        <f>+'2. önkorm.bevkiad'!H53+'3. INT összes'!H53</f>
        <v>0</v>
      </c>
      <c r="I56" s="342">
        <f>+'2. önkorm.bevkiad'!I53+'3. INT összes'!I53</f>
        <v>0</v>
      </c>
      <c r="J56" s="342">
        <f>+'2. önkorm.bevkiad'!J53+'3. INT összes'!J53</f>
        <v>0</v>
      </c>
      <c r="K56" s="342">
        <f>+'2. önkorm.bevkiad'!K53+'3. INT összes'!K53</f>
        <v>0</v>
      </c>
      <c r="L56" s="342">
        <f>+'2. önkorm.bevkiad'!L53+'3. INT összes'!L53</f>
        <v>0</v>
      </c>
      <c r="M56" s="341">
        <f>+'2. önkorm.bevkiad'!M53+'3. INT összes'!M53</f>
        <v>0</v>
      </c>
      <c r="N56" s="341">
        <f>+'2. önkorm.bevkiad'!N53+'3. INT összes'!N53</f>
        <v>0</v>
      </c>
      <c r="O56" s="341">
        <f>+'2. önkorm.bevkiad'!O53+'3. INT összes'!O53</f>
        <v>0</v>
      </c>
      <c r="P56" s="708"/>
      <c r="Q56" s="1005">
        <v>0</v>
      </c>
      <c r="R56" s="967">
        <v>0</v>
      </c>
      <c r="S56" s="983">
        <f>+M56/$M$57</f>
        <v>0</v>
      </c>
      <c r="T56" s="983">
        <f>+Q56/$Q$57</f>
        <v>0</v>
      </c>
      <c r="U56" s="983">
        <f>+R56/$R$57</f>
        <v>0</v>
      </c>
    </row>
    <row r="57" spans="1:21" s="984" customFormat="1" ht="12.75" customHeight="1" x14ac:dyDescent="0.2">
      <c r="A57" s="637" t="s">
        <v>13</v>
      </c>
      <c r="B57" s="638" t="s">
        <v>102</v>
      </c>
      <c r="C57" s="341">
        <f>+'2. önkorm.bevkiad'!C54+'3. INT összes'!C54</f>
        <v>4067551000</v>
      </c>
      <c r="D57" s="341">
        <f>+'2. önkorm.bevkiad'!D54+'3. INT összes'!D54</f>
        <v>4069551000</v>
      </c>
      <c r="E57" s="341">
        <f>+'2. önkorm.bevkiad'!E54+'3. INT összes'!E54</f>
        <v>4062093043</v>
      </c>
      <c r="F57" s="341">
        <f>+'2. önkorm.bevkiad'!F54+'3. INT összes'!F54</f>
        <v>0</v>
      </c>
      <c r="G57" s="341">
        <f>+'2. önkorm.bevkiad'!G54+'3. INT összes'!G54</f>
        <v>104492000</v>
      </c>
      <c r="H57" s="341">
        <f>+'2. önkorm.bevkiad'!H54+'3. INT összes'!H54</f>
        <v>104492000</v>
      </c>
      <c r="I57" s="341">
        <f>+'2. önkorm.bevkiad'!I54+'3. INT összes'!I54</f>
        <v>108692000</v>
      </c>
      <c r="J57" s="341">
        <f>+'2. önkorm.bevkiad'!J54+'3. INT összes'!J54</f>
        <v>0</v>
      </c>
      <c r="K57" s="341">
        <f>+'2. önkorm.bevkiad'!K54+'3. INT összes'!K54</f>
        <v>0</v>
      </c>
      <c r="L57" s="341">
        <f>+'2. önkorm.bevkiad'!L54+'3. INT összes'!L54</f>
        <v>0</v>
      </c>
      <c r="M57" s="341">
        <f>+'2. önkorm.bevkiad'!M54+'3. INT összes'!M54</f>
        <v>4172043000</v>
      </c>
      <c r="N57" s="341">
        <f>+'2. önkorm.bevkiad'!N54+'3. INT összes'!N54</f>
        <v>4174043000</v>
      </c>
      <c r="O57" s="341">
        <f>+'2. önkorm.bevkiad'!O54+'3. INT összes'!O54</f>
        <v>4170785043</v>
      </c>
      <c r="P57" s="708"/>
      <c r="Q57" s="1005">
        <f>Q41+Q53</f>
        <v>2791987227</v>
      </c>
      <c r="R57" s="968">
        <f>R41+R53</f>
        <v>3158044101</v>
      </c>
      <c r="S57" s="983">
        <f t="shared" ref="S57" si="9">+M57/$M$57</f>
        <v>1</v>
      </c>
      <c r="T57" s="983">
        <f t="shared" ref="T57" si="10">+Q57/$Q$57</f>
        <v>1</v>
      </c>
      <c r="U57" s="983">
        <f t="shared" ref="U57" si="11">+R57/$R$57</f>
        <v>1</v>
      </c>
    </row>
    <row r="58" spans="1:21" ht="12.75" customHeight="1" x14ac:dyDescent="0.2">
      <c r="A58" s="650" t="s">
        <v>14</v>
      </c>
      <c r="B58" s="634" t="s">
        <v>358</v>
      </c>
      <c r="C58" s="342">
        <f>+'2. önkorm.bevkiad'!C55+'3. INT összes'!C55</f>
        <v>77976000</v>
      </c>
      <c r="D58" s="342">
        <f>+'2. önkorm.bevkiad'!D55+'3. INT összes'!D55</f>
        <v>77976000</v>
      </c>
      <c r="E58" s="342">
        <f>+'2. önkorm.bevkiad'!E55+'3. INT összes'!E55</f>
        <v>77976000</v>
      </c>
      <c r="F58" s="342">
        <f>+'2. önkorm.bevkiad'!F55+'3. INT összes'!F55</f>
        <v>0</v>
      </c>
      <c r="G58" s="342">
        <f>+'2. önkorm.bevkiad'!G55+'3. INT összes'!G55</f>
        <v>0</v>
      </c>
      <c r="H58" s="342">
        <f>+'2. önkorm.bevkiad'!H55+'3. INT összes'!H55</f>
        <v>0</v>
      </c>
      <c r="I58" s="342">
        <f>+'2. önkorm.bevkiad'!I55+'3. INT összes'!I55</f>
        <v>0</v>
      </c>
      <c r="J58" s="342">
        <f>+'2. önkorm.bevkiad'!J55+'3. INT összes'!J55</f>
        <v>0</v>
      </c>
      <c r="K58" s="342">
        <f>+'2. önkorm.bevkiad'!K55+'3. INT összes'!K55</f>
        <v>0</v>
      </c>
      <c r="L58" s="342">
        <f>+'2. önkorm.bevkiad'!L55+'3. INT összes'!L55</f>
        <v>0</v>
      </c>
      <c r="M58" s="341">
        <f>+'2. önkorm.bevkiad'!M55+'3. INT összes'!M55</f>
        <v>77976000</v>
      </c>
      <c r="N58" s="341">
        <f>+'2. önkorm.bevkiad'!N55+'3. INT összes'!N55</f>
        <v>77976000</v>
      </c>
      <c r="O58" s="341">
        <f>+'2. önkorm.bevkiad'!O55+'3. INT összes'!O55</f>
        <v>77976000</v>
      </c>
      <c r="P58" s="708"/>
      <c r="Q58" s="1005">
        <v>46152000</v>
      </c>
      <c r="R58" s="964">
        <v>46152000</v>
      </c>
    </row>
    <row r="59" spans="1:21" ht="12.75" customHeight="1" x14ac:dyDescent="0.2">
      <c r="A59" s="650" t="s">
        <v>15</v>
      </c>
      <c r="B59" s="634" t="s">
        <v>359</v>
      </c>
      <c r="C59" s="342">
        <f>+'2. önkorm.bevkiad'!C56+'3. INT összes'!C56</f>
        <v>350000000</v>
      </c>
      <c r="D59" s="965">
        <f>+'2. önkorm.bevkiad'!D56+'3. INT összes'!D56</f>
        <v>350000000</v>
      </c>
      <c r="E59" s="965">
        <f>+'2. önkorm.bevkiad'!E56+'3. INT összes'!E56</f>
        <v>350000000</v>
      </c>
      <c r="F59" s="965">
        <f>+'2. önkorm.bevkiad'!F56+'3. INT összes'!F56</f>
        <v>0</v>
      </c>
      <c r="G59" s="342">
        <f>+'2. önkorm.bevkiad'!G56+'3. INT összes'!G56</f>
        <v>0</v>
      </c>
      <c r="H59" s="342">
        <f>+'2. önkorm.bevkiad'!H56+'3. INT összes'!H56</f>
        <v>0</v>
      </c>
      <c r="I59" s="342">
        <f>+'2. önkorm.bevkiad'!I56+'3. INT összes'!I56</f>
        <v>0</v>
      </c>
      <c r="J59" s="342">
        <f>+'2. önkorm.bevkiad'!J56+'3. INT összes'!J56</f>
        <v>0</v>
      </c>
      <c r="K59" s="342">
        <f>+'2. önkorm.bevkiad'!K56+'3. INT összes'!K56</f>
        <v>0</v>
      </c>
      <c r="L59" s="342">
        <f>+'2. önkorm.bevkiad'!L56+'3. INT összes'!L56</f>
        <v>0</v>
      </c>
      <c r="M59" s="341">
        <f>+'2. önkorm.bevkiad'!M56+'3. INT összes'!M56</f>
        <v>350000000</v>
      </c>
      <c r="N59" s="341">
        <f>+'2. önkorm.bevkiad'!N56+'3. INT összes'!N56</f>
        <v>350000000</v>
      </c>
      <c r="O59" s="341">
        <f>+'2. önkorm.bevkiad'!O56+'3. INT összes'!O56</f>
        <v>350000000</v>
      </c>
      <c r="P59" s="708"/>
      <c r="Q59" s="1005">
        <v>166647319</v>
      </c>
      <c r="R59" s="964"/>
    </row>
    <row r="60" spans="1:21" ht="12.75" customHeight="1" x14ac:dyDescent="0.2">
      <c r="A60" s="650" t="s">
        <v>16</v>
      </c>
      <c r="B60" s="634" t="s">
        <v>308</v>
      </c>
      <c r="C60" s="342">
        <f>+'2. önkorm.bevkiad'!C57+'3. INT összes'!C57</f>
        <v>42637000</v>
      </c>
      <c r="D60" s="965">
        <f>+'2. önkorm.bevkiad'!D57+'3. INT összes'!D57</f>
        <v>42636786</v>
      </c>
      <c r="E60" s="965">
        <f>+'2. önkorm.bevkiad'!E57+'3. INT összes'!E57</f>
        <v>42636786</v>
      </c>
      <c r="F60" s="965">
        <f>+'2. önkorm.bevkiad'!F57+'3. INT összes'!F57</f>
        <v>0</v>
      </c>
      <c r="G60" s="342">
        <f>+'2. önkorm.bevkiad'!G57+'3. INT összes'!G57</f>
        <v>0</v>
      </c>
      <c r="H60" s="342">
        <f>+'2. önkorm.bevkiad'!H57+'3. INT összes'!H57</f>
        <v>0</v>
      </c>
      <c r="I60" s="342">
        <f>+'2. önkorm.bevkiad'!I57+'3. INT összes'!I57</f>
        <v>0</v>
      </c>
      <c r="J60" s="342">
        <f>+'2. önkorm.bevkiad'!J57+'3. INT összes'!J57</f>
        <v>0</v>
      </c>
      <c r="K60" s="342">
        <f>+'2. önkorm.bevkiad'!K57+'3. INT összes'!K57</f>
        <v>0</v>
      </c>
      <c r="L60" s="342">
        <f>+'2. önkorm.bevkiad'!L57+'3. INT összes'!L57</f>
        <v>0</v>
      </c>
      <c r="M60" s="341">
        <f>+'2. önkorm.bevkiad'!M57+'3. INT összes'!M57</f>
        <v>42637000</v>
      </c>
      <c r="N60" s="341">
        <f>+'2. önkorm.bevkiad'!N57+'3. INT összes'!N57</f>
        <v>42636786</v>
      </c>
      <c r="O60" s="341">
        <f>+'2. önkorm.bevkiad'!O57+'3. INT összes'!O57</f>
        <v>42636786</v>
      </c>
      <c r="P60" s="708"/>
      <c r="Q60" s="1005">
        <v>32462142</v>
      </c>
      <c r="R60" s="964">
        <v>28756764</v>
      </c>
    </row>
    <row r="61" spans="1:21" ht="12.75" customHeight="1" x14ac:dyDescent="0.2">
      <c r="A61" s="650" t="s">
        <v>17</v>
      </c>
      <c r="B61" s="634" t="s">
        <v>104</v>
      </c>
      <c r="C61" s="342">
        <f>+'2. önkorm.bevkiad'!C58+'3. INT összes'!C58</f>
        <v>1165573000</v>
      </c>
      <c r="D61" s="965">
        <f>+'2. önkorm.bevkiad'!D58+'3. INT összes'!D58</f>
        <v>1165573000</v>
      </c>
      <c r="E61" s="965">
        <f>+'2. önkorm.bevkiad'!E58+'3. INT összes'!E58</f>
        <v>1165573000</v>
      </c>
      <c r="F61" s="965">
        <f>+'2. önkorm.bevkiad'!F58+'3. INT összes'!F58</f>
        <v>0</v>
      </c>
      <c r="G61" s="342">
        <f>+'2. önkorm.bevkiad'!G58+'3. INT összes'!G58</f>
        <v>0</v>
      </c>
      <c r="H61" s="342">
        <f>+'2. önkorm.bevkiad'!H58+'3. INT összes'!H58</f>
        <v>0</v>
      </c>
      <c r="I61" s="342">
        <f>+'2. önkorm.bevkiad'!I58+'3. INT összes'!I58</f>
        <v>0</v>
      </c>
      <c r="J61" s="342">
        <f>+'2. önkorm.bevkiad'!J58+'3. INT összes'!J58</f>
        <v>0</v>
      </c>
      <c r="K61" s="342">
        <f>+'2. önkorm.bevkiad'!K58+'3. INT összes'!K58</f>
        <v>0</v>
      </c>
      <c r="L61" s="342">
        <f>+'2. önkorm.bevkiad'!L58+'3. INT összes'!L58</f>
        <v>0</v>
      </c>
      <c r="M61" s="341">
        <f>+'2. önkorm.bevkiad'!M58+'3. INT összes'!M58</f>
        <v>1165573000</v>
      </c>
      <c r="N61" s="341">
        <f>+'2. önkorm.bevkiad'!N58+'3. INT összes'!N58</f>
        <v>1165573000</v>
      </c>
      <c r="O61" s="341">
        <f>+'2. önkorm.bevkiad'!O58+'3. INT összes'!O58</f>
        <v>1165573000</v>
      </c>
      <c r="P61" s="708"/>
      <c r="Q61" s="1005">
        <v>1090661351</v>
      </c>
      <c r="R61" s="964">
        <v>956400839</v>
      </c>
    </row>
    <row r="62" spans="1:21" ht="12.75" customHeight="1" x14ac:dyDescent="0.2">
      <c r="A62" s="650"/>
      <c r="B62" s="634" t="s">
        <v>212</v>
      </c>
      <c r="C62" s="342">
        <f>+'2. önkorm.bevkiad'!C59+'3. INT összes'!C59</f>
        <v>1165573000</v>
      </c>
      <c r="D62" s="965">
        <f>+'2. önkorm.bevkiad'!D59+'3. INT összes'!D59</f>
        <v>1165573000</v>
      </c>
      <c r="E62" s="965">
        <f>+'2. önkorm.bevkiad'!E59+'3. INT összes'!E59</f>
        <v>1165573000</v>
      </c>
      <c r="F62" s="965">
        <f>+'2. önkorm.bevkiad'!F59+'3. INT összes'!F59</f>
        <v>0</v>
      </c>
      <c r="G62" s="342">
        <f>+'2. önkorm.bevkiad'!G59+'3. INT összes'!G59</f>
        <v>0</v>
      </c>
      <c r="H62" s="342">
        <f>+'2. önkorm.bevkiad'!H59+'3. INT összes'!H59</f>
        <v>0</v>
      </c>
      <c r="I62" s="342">
        <f>+'2. önkorm.bevkiad'!I59+'3. INT összes'!I59</f>
        <v>0</v>
      </c>
      <c r="J62" s="342">
        <f>+'2. önkorm.bevkiad'!J59+'3. INT összes'!J59</f>
        <v>0</v>
      </c>
      <c r="K62" s="342">
        <f>+'2. önkorm.bevkiad'!K59+'3. INT összes'!K59</f>
        <v>0</v>
      </c>
      <c r="L62" s="342">
        <f>+'2. önkorm.bevkiad'!L59+'3. INT összes'!L59</f>
        <v>0</v>
      </c>
      <c r="M62" s="341">
        <f>+'2. önkorm.bevkiad'!M59+'3. INT összes'!M59</f>
        <v>1165573000</v>
      </c>
      <c r="N62" s="341">
        <f>+'2. önkorm.bevkiad'!N59+'3. INT összes'!N59</f>
        <v>1165573000</v>
      </c>
      <c r="O62" s="341">
        <f>+'2. önkorm.bevkiad'!O59+'3. INT összes'!O59</f>
        <v>1165573000</v>
      </c>
      <c r="P62" s="708"/>
      <c r="Q62" s="1005">
        <v>1090661351</v>
      </c>
      <c r="R62" s="964">
        <v>956400839</v>
      </c>
    </row>
    <row r="63" spans="1:21" ht="12.75" customHeight="1" x14ac:dyDescent="0.2">
      <c r="A63" s="996"/>
      <c r="B63" s="634" t="s">
        <v>211</v>
      </c>
      <c r="C63" s="342">
        <f>+'2. önkorm.bevkiad'!C60+'3. INT összes'!C60</f>
        <v>0</v>
      </c>
      <c r="D63" s="965">
        <f>+'2. önkorm.bevkiad'!D60+'3. INT összes'!D60</f>
        <v>0</v>
      </c>
      <c r="E63" s="965">
        <f>+'2. önkorm.bevkiad'!E60+'3. INT összes'!E60</f>
        <v>0</v>
      </c>
      <c r="F63" s="965">
        <f>+'2. önkorm.bevkiad'!F60+'3. INT összes'!F60</f>
        <v>0</v>
      </c>
      <c r="G63" s="342">
        <f>+'2. önkorm.bevkiad'!G60+'3. INT összes'!G60</f>
        <v>0</v>
      </c>
      <c r="H63" s="342">
        <f>+'2. önkorm.bevkiad'!H60+'3. INT összes'!H60</f>
        <v>0</v>
      </c>
      <c r="I63" s="342">
        <f>+'2. önkorm.bevkiad'!I60+'3. INT összes'!I60</f>
        <v>0</v>
      </c>
      <c r="J63" s="342">
        <f>+'2. önkorm.bevkiad'!J60+'3. INT összes'!J60</f>
        <v>0</v>
      </c>
      <c r="K63" s="342">
        <f>+'2. önkorm.bevkiad'!K60+'3. INT összes'!K60</f>
        <v>0</v>
      </c>
      <c r="L63" s="342">
        <f>+'2. önkorm.bevkiad'!L60+'3. INT összes'!L60</f>
        <v>0</v>
      </c>
      <c r="M63" s="341">
        <f>+'2. önkorm.bevkiad'!M60+'3. INT összes'!M60</f>
        <v>0</v>
      </c>
      <c r="N63" s="341">
        <f>+'2. önkorm.bevkiad'!N60+'3. INT összes'!N60</f>
        <v>0</v>
      </c>
      <c r="O63" s="341">
        <f>+'2. önkorm.bevkiad'!O60+'3. INT összes'!O60</f>
        <v>0</v>
      </c>
      <c r="P63" s="708"/>
      <c r="Q63" s="1005"/>
      <c r="R63" s="964"/>
    </row>
    <row r="64" spans="1:21" ht="12.75" customHeight="1" x14ac:dyDescent="0.2">
      <c r="A64" s="650" t="s">
        <v>18</v>
      </c>
      <c r="B64" s="634" t="s">
        <v>105</v>
      </c>
      <c r="C64" s="342">
        <f>+'2. önkorm.bevkiad'!C61+'3. INT összes'!C61</f>
        <v>0</v>
      </c>
      <c r="D64" s="965">
        <f>+'2. önkorm.bevkiad'!D61+'3. INT összes'!D61</f>
        <v>0</v>
      </c>
      <c r="E64" s="965">
        <f>+'2. önkorm.bevkiad'!E61+'3. INT összes'!E61</f>
        <v>0</v>
      </c>
      <c r="F64" s="965">
        <f>+'2. önkorm.bevkiad'!F61+'3. INT összes'!F61</f>
        <v>0</v>
      </c>
      <c r="G64" s="342">
        <f>+'2. önkorm.bevkiad'!G61+'3. INT összes'!G61</f>
        <v>0</v>
      </c>
      <c r="H64" s="342">
        <f>+'2. önkorm.bevkiad'!H61+'3. INT összes'!H61</f>
        <v>0</v>
      </c>
      <c r="I64" s="342">
        <f>+'2. önkorm.bevkiad'!I61+'3. INT összes'!I61</f>
        <v>0</v>
      </c>
      <c r="J64" s="342">
        <f>+'2. önkorm.bevkiad'!J61+'3. INT összes'!J61</f>
        <v>0</v>
      </c>
      <c r="K64" s="342">
        <f>+'2. önkorm.bevkiad'!K61+'3. INT összes'!K61</f>
        <v>0</v>
      </c>
      <c r="L64" s="342">
        <f>+'2. önkorm.bevkiad'!L61+'3. INT összes'!L61</f>
        <v>0</v>
      </c>
      <c r="M64" s="341">
        <f>+'2. önkorm.bevkiad'!M61+'3. INT összes'!M61</f>
        <v>0</v>
      </c>
      <c r="N64" s="341">
        <f>+'2. önkorm.bevkiad'!N61+'3. INT összes'!N61</f>
        <v>0</v>
      </c>
      <c r="O64" s="341">
        <f>+'2. önkorm.bevkiad'!O61+'3. INT összes'!O61</f>
        <v>0</v>
      </c>
      <c r="P64" s="708"/>
      <c r="Q64" s="1007"/>
      <c r="R64" s="967"/>
    </row>
    <row r="65" spans="1:18" s="984" customFormat="1" ht="12.75" customHeight="1" x14ac:dyDescent="0.2">
      <c r="A65" s="637" t="s">
        <v>19</v>
      </c>
      <c r="B65" s="638" t="s">
        <v>106</v>
      </c>
      <c r="C65" s="341">
        <f>+'2. önkorm.bevkiad'!C62+'3. INT összes'!C62</f>
        <v>1636186000</v>
      </c>
      <c r="D65" s="985">
        <f>+'2. önkorm.bevkiad'!D62+'3. INT összes'!D62</f>
        <v>1636185786</v>
      </c>
      <c r="E65" s="985">
        <f>+'2. önkorm.bevkiad'!E62+'3. INT összes'!E62</f>
        <v>1636185786</v>
      </c>
      <c r="F65" s="985">
        <f>+'2. önkorm.bevkiad'!F62+'3. INT összes'!F62</f>
        <v>0</v>
      </c>
      <c r="G65" s="341">
        <f>+'2. önkorm.bevkiad'!G62+'3. INT összes'!G62</f>
        <v>0</v>
      </c>
      <c r="H65" s="341">
        <f>+'2. önkorm.bevkiad'!H62+'3. INT összes'!H62</f>
        <v>0</v>
      </c>
      <c r="I65" s="341">
        <f>+'2. önkorm.bevkiad'!I62+'3. INT összes'!I62</f>
        <v>0</v>
      </c>
      <c r="J65" s="341">
        <f>+'2. önkorm.bevkiad'!J62+'3. INT összes'!J62</f>
        <v>0</v>
      </c>
      <c r="K65" s="341">
        <f>+'2. önkorm.bevkiad'!K62+'3. INT összes'!K62</f>
        <v>0</v>
      </c>
      <c r="L65" s="341">
        <f>+'2. önkorm.bevkiad'!L62+'3. INT összes'!L62</f>
        <v>0</v>
      </c>
      <c r="M65" s="341">
        <f>+'2. önkorm.bevkiad'!M62+'3. INT összes'!M62</f>
        <v>1636186000</v>
      </c>
      <c r="N65" s="341">
        <f>+'2. önkorm.bevkiad'!N62+'3. INT összes'!N62</f>
        <v>1636185786</v>
      </c>
      <c r="O65" s="341">
        <f>+'2. önkorm.bevkiad'!O62+'3. INT összes'!O62</f>
        <v>1636185786</v>
      </c>
      <c r="P65" s="708"/>
      <c r="Q65" s="1005">
        <f>+Q61+Q58+Q59+Q60</f>
        <v>1335922812</v>
      </c>
      <c r="R65" s="968">
        <f>+R58+R60+R61</f>
        <v>1031309603</v>
      </c>
    </row>
    <row r="66" spans="1:18" s="984" customFormat="1" ht="12.75" customHeight="1" x14ac:dyDescent="0.2">
      <c r="A66" s="643" t="s">
        <v>20</v>
      </c>
      <c r="B66" s="644" t="s">
        <v>107</v>
      </c>
      <c r="C66" s="341">
        <f>+'2. önkorm.bevkiad'!C63+'3. INT összes'!C63</f>
        <v>5703737000</v>
      </c>
      <c r="D66" s="341">
        <f>+'2. önkorm.bevkiad'!D63+'3. INT összes'!D63</f>
        <v>5705736786</v>
      </c>
      <c r="E66" s="341">
        <f>+'2. önkorm.bevkiad'!E63+'3. INT összes'!E63</f>
        <v>5698278829</v>
      </c>
      <c r="F66" s="341">
        <f>+'2. önkorm.bevkiad'!F63+'3. INT összes'!F63</f>
        <v>0</v>
      </c>
      <c r="G66" s="341">
        <f>+'2. önkorm.bevkiad'!G63+'3. INT összes'!G63</f>
        <v>104492000</v>
      </c>
      <c r="H66" s="341">
        <f>+'2. önkorm.bevkiad'!H63+'3. INT összes'!H63</f>
        <v>104492000</v>
      </c>
      <c r="I66" s="341">
        <f>+'2. önkorm.bevkiad'!I63+'3. INT összes'!I63</f>
        <v>108692000</v>
      </c>
      <c r="J66" s="341">
        <f>+'2. önkorm.bevkiad'!J63+'3. INT összes'!J63</f>
        <v>0</v>
      </c>
      <c r="K66" s="341">
        <f>+'2. önkorm.bevkiad'!K63+'3. INT összes'!K63</f>
        <v>0</v>
      </c>
      <c r="L66" s="341">
        <f>+'2. önkorm.bevkiad'!L63+'3. INT összes'!L63</f>
        <v>0</v>
      </c>
      <c r="M66" s="341">
        <f>+'2. önkorm.bevkiad'!M63+'3. INT összes'!M63</f>
        <v>5808229000</v>
      </c>
      <c r="N66" s="341">
        <f>+'2. önkorm.bevkiad'!N63+'3. INT összes'!N63</f>
        <v>5810228786</v>
      </c>
      <c r="O66" s="341">
        <f>+'2. önkorm.bevkiad'!O63+'3. INT összes'!O63</f>
        <v>5806970829</v>
      </c>
      <c r="P66" s="708"/>
      <c r="Q66" s="1005">
        <f>Q57+Q65</f>
        <v>4127910039</v>
      </c>
      <c r="R66" s="968">
        <f>R57+R65</f>
        <v>4189353704</v>
      </c>
    </row>
    <row r="67" spans="1:18" ht="12.75" customHeight="1" x14ac:dyDescent="0.2">
      <c r="A67" s="978" t="s">
        <v>21</v>
      </c>
      <c r="B67" s="988" t="s">
        <v>108</v>
      </c>
      <c r="C67" s="342">
        <f>+C62</f>
        <v>1165573000</v>
      </c>
      <c r="D67" s="342">
        <f t="shared" ref="D67:O67" si="12">+D62</f>
        <v>1165573000</v>
      </c>
      <c r="E67" s="342">
        <f t="shared" si="12"/>
        <v>1165573000</v>
      </c>
      <c r="F67" s="342">
        <f t="shared" si="12"/>
        <v>0</v>
      </c>
      <c r="G67" s="342">
        <f t="shared" si="12"/>
        <v>0</v>
      </c>
      <c r="H67" s="342">
        <f t="shared" si="12"/>
        <v>0</v>
      </c>
      <c r="I67" s="342">
        <f t="shared" si="12"/>
        <v>0</v>
      </c>
      <c r="J67" s="342">
        <f t="shared" si="12"/>
        <v>0</v>
      </c>
      <c r="K67" s="342">
        <f t="shared" si="12"/>
        <v>0</v>
      </c>
      <c r="L67" s="342">
        <f t="shared" si="12"/>
        <v>0</v>
      </c>
      <c r="M67" s="342">
        <f t="shared" si="12"/>
        <v>1165573000</v>
      </c>
      <c r="N67" s="342">
        <f t="shared" si="12"/>
        <v>1165573000</v>
      </c>
      <c r="O67" s="342">
        <f t="shared" si="12"/>
        <v>1165573000</v>
      </c>
      <c r="P67" s="699"/>
      <c r="Q67" s="1005">
        <v>1090661351</v>
      </c>
      <c r="R67" s="964">
        <v>956400839</v>
      </c>
    </row>
    <row r="68" spans="1:18" ht="12.75" customHeight="1" x14ac:dyDescent="0.2">
      <c r="A68" s="978" t="s">
        <v>22</v>
      </c>
      <c r="B68" s="988" t="s">
        <v>211</v>
      </c>
      <c r="C68" s="342">
        <v>0</v>
      </c>
      <c r="D68" s="342">
        <v>0</v>
      </c>
      <c r="E68" s="342">
        <v>0</v>
      </c>
      <c r="F68" s="342">
        <v>0</v>
      </c>
      <c r="G68" s="342">
        <v>0</v>
      </c>
      <c r="H68" s="342">
        <v>0</v>
      </c>
      <c r="I68" s="342">
        <v>0</v>
      </c>
      <c r="J68" s="342">
        <v>0</v>
      </c>
      <c r="K68" s="342">
        <v>0</v>
      </c>
      <c r="L68" s="342">
        <v>0</v>
      </c>
      <c r="M68" s="341">
        <v>0</v>
      </c>
      <c r="N68" s="341">
        <v>0</v>
      </c>
      <c r="O68" s="341">
        <v>0</v>
      </c>
      <c r="P68" s="708"/>
      <c r="Q68" s="1007"/>
      <c r="R68" s="967"/>
    </row>
    <row r="69" spans="1:18" x14ac:dyDescent="0.2">
      <c r="A69" s="979" t="s">
        <v>23</v>
      </c>
      <c r="B69" s="997" t="s">
        <v>63</v>
      </c>
      <c r="C69" s="341">
        <f>C66-C67-C68</f>
        <v>4538164000</v>
      </c>
      <c r="D69" s="341">
        <f t="shared" ref="D69:O69" si="13">D66-D67-D68</f>
        <v>4540163786</v>
      </c>
      <c r="E69" s="341">
        <f t="shared" si="13"/>
        <v>4532705829</v>
      </c>
      <c r="F69" s="341">
        <f t="shared" si="13"/>
        <v>0</v>
      </c>
      <c r="G69" s="341">
        <f t="shared" si="13"/>
        <v>104492000</v>
      </c>
      <c r="H69" s="341">
        <f t="shared" si="13"/>
        <v>104492000</v>
      </c>
      <c r="I69" s="341">
        <f t="shared" si="13"/>
        <v>108692000</v>
      </c>
      <c r="J69" s="341">
        <f t="shared" si="13"/>
        <v>0</v>
      </c>
      <c r="K69" s="341">
        <f t="shared" si="13"/>
        <v>0</v>
      </c>
      <c r="L69" s="341">
        <f t="shared" si="13"/>
        <v>0</v>
      </c>
      <c r="M69" s="341">
        <f t="shared" si="13"/>
        <v>4642656000</v>
      </c>
      <c r="N69" s="341">
        <f t="shared" si="13"/>
        <v>4644655786</v>
      </c>
      <c r="O69" s="341">
        <f t="shared" si="13"/>
        <v>4641397829</v>
      </c>
      <c r="P69" s="708"/>
      <c r="Q69" s="1005">
        <f>Q66-Q67-Q68</f>
        <v>3037248688</v>
      </c>
      <c r="R69" s="968">
        <f>R66-R67-R68</f>
        <v>3232952865</v>
      </c>
    </row>
    <row r="70" spans="1:18" x14ac:dyDescent="0.2">
      <c r="A70" s="843"/>
      <c r="B70" s="844"/>
      <c r="C70" s="986">
        <f>+C69-C37</f>
        <v>-104492000</v>
      </c>
      <c r="D70" s="986">
        <f>+D69-D37</f>
        <v>-104492000</v>
      </c>
      <c r="E70" s="986">
        <f t="shared" ref="E70:F70" si="14">+E69-E37</f>
        <v>-108692000</v>
      </c>
      <c r="F70" s="986">
        <f t="shared" si="14"/>
        <v>-700000000</v>
      </c>
      <c r="G70" s="986">
        <f t="shared" ref="G70:L70" si="15">+G69-G37</f>
        <v>104492000</v>
      </c>
      <c r="H70" s="986">
        <f t="shared" ref="H70:I70" si="16">+H69-H37</f>
        <v>104492000</v>
      </c>
      <c r="I70" s="986">
        <f t="shared" si="16"/>
        <v>108692000</v>
      </c>
      <c r="J70" s="986">
        <f t="shared" si="15"/>
        <v>0</v>
      </c>
      <c r="K70" s="986">
        <f t="shared" si="15"/>
        <v>0</v>
      </c>
      <c r="L70" s="986">
        <f t="shared" si="15"/>
        <v>0</v>
      </c>
      <c r="M70" s="986">
        <f>+M69-M37</f>
        <v>0</v>
      </c>
      <c r="N70" s="986">
        <f>+N69-N37</f>
        <v>0</v>
      </c>
      <c r="O70" s="986">
        <f>+O69-O37</f>
        <v>0</v>
      </c>
      <c r="P70" s="320"/>
      <c r="Q70" s="986">
        <f t="shared" ref="Q70" si="17">+Q69-Q37</f>
        <v>-125385020</v>
      </c>
      <c r="R70" s="986">
        <f>+R69-R37</f>
        <v>-238561554</v>
      </c>
    </row>
    <row r="71" spans="1:18" x14ac:dyDescent="0.2">
      <c r="A71" s="843"/>
      <c r="B71" s="998"/>
      <c r="C71" s="986"/>
      <c r="D71" s="986"/>
    </row>
    <row r="72" spans="1:18" x14ac:dyDescent="0.2">
      <c r="A72" s="843"/>
      <c r="B72" s="998"/>
      <c r="D72" s="986"/>
    </row>
    <row r="73" spans="1:18" x14ac:dyDescent="0.2">
      <c r="A73" s="999"/>
      <c r="B73" s="1000"/>
      <c r="D73" s="708"/>
    </row>
    <row r="74" spans="1:18" x14ac:dyDescent="0.2">
      <c r="A74" s="999"/>
      <c r="B74" s="1001"/>
      <c r="D74" s="580"/>
    </row>
    <row r="75" spans="1:18" x14ac:dyDescent="0.2">
      <c r="A75" s="999"/>
      <c r="B75" s="1000"/>
      <c r="D75" s="580"/>
    </row>
    <row r="76" spans="1:18" x14ac:dyDescent="0.2">
      <c r="A76" s="999"/>
      <c r="B76" s="1000"/>
    </row>
    <row r="77" spans="1:18" x14ac:dyDescent="0.2">
      <c r="A77" s="843"/>
      <c r="B77" s="844"/>
    </row>
  </sheetData>
  <mergeCells count="2">
    <mergeCell ref="L1:O1"/>
    <mergeCell ref="A2:O2"/>
  </mergeCells>
  <phoneticPr fontId="3" type="noConversion"/>
  <printOptions horizontalCentered="1"/>
  <pageMargins left="0.19685039370078741" right="0.15748031496062992" top="0.34" bottom="0.94488188976377963" header="0.15748031496062992" footer="0.19685039370078741"/>
  <pageSetup paperSize="9" scale="66" fitToHeight="0" orientation="portrait" r:id="rId1"/>
  <headerFooter>
    <oddFooter>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48.85546875" style="382" customWidth="1"/>
    <col min="3" max="3" width="9.42578125" style="382" customWidth="1"/>
    <col min="4" max="4" width="10.5703125" style="382" hidden="1" customWidth="1"/>
    <col min="5" max="5" width="10.140625" style="382" customWidth="1"/>
    <col min="6" max="6" width="10.5703125" style="382" hidden="1" customWidth="1"/>
    <col min="7" max="7" width="10" style="382" customWidth="1"/>
    <col min="8" max="8" width="10" style="382" hidden="1" customWidth="1"/>
    <col min="9" max="9" width="10" style="382" customWidth="1"/>
    <col min="10" max="10" width="10" style="382" hidden="1" customWidth="1"/>
    <col min="11" max="11" width="8.85546875" style="382"/>
    <col min="12" max="12" width="9.140625" style="382" customWidth="1"/>
    <col min="13" max="13" width="9.5703125" style="382" customWidth="1"/>
    <col min="14" max="14" width="12" style="382" hidden="1" customWidth="1"/>
    <col min="15" max="15" width="11" style="382" customWidth="1"/>
  </cols>
  <sheetData>
    <row r="1" spans="1:15" ht="35.25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L1" s="1086" t="s">
        <v>671</v>
      </c>
      <c r="M1" s="1086"/>
      <c r="N1" s="1086"/>
      <c r="O1" s="1086"/>
    </row>
    <row r="2" spans="1:15" ht="35.25" customHeight="1" x14ac:dyDescent="0.25">
      <c r="A2" s="1103" t="s">
        <v>670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L3" s="466"/>
      <c r="M3" s="466" t="s">
        <v>339</v>
      </c>
      <c r="N3" s="79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'10. NGVK'!D5+'10. NGVK'!H5+'10. NGVK'!L5</f>
        <v>0</v>
      </c>
      <c r="O5" s="391">
        <f>'10. NGVK'!E5+'10. NGVK'!I5+'10. NGVK'!L5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>
        <v>0</v>
      </c>
      <c r="E6" s="389">
        <v>0</v>
      </c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'10. NGVK'!D6+'10. NGVK'!H6+'10. NGVK'!L6</f>
        <v>0</v>
      </c>
      <c r="O6" s="391">
        <f>'10. NGVK'!E6+'10. NGVK'!I6+'10. NGVK'!L6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'10. NGVK'!D11+'10. NGVK'!H11+'10. NGVK'!L11</f>
        <v>0</v>
      </c>
      <c r="O11" s="391">
        <f>'10. NGVK'!E11+'10. NGVK'!I11+'10. NGVK'!L11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'10. NGVK'!D12+'10. NGVK'!H12+'10. NGVK'!L12</f>
        <v>0</v>
      </c>
      <c r="O12" s="391">
        <f>'10. NGVK'!E12+'10. NGVK'!I12+'10. NGVK'!L12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600000</v>
      </c>
      <c r="D19" s="389">
        <f>+C19</f>
        <v>600000</v>
      </c>
      <c r="E19" s="389">
        <f>+D19</f>
        <v>600000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M24" si="0">C19+G19+K19</f>
        <v>600000</v>
      </c>
      <c r="N19" s="391">
        <f>'10. NGVK'!D19+'10. NGVK'!H19+'10. NGVK'!L19</f>
        <v>600000</v>
      </c>
      <c r="O19" s="391">
        <f>'10. NGVK'!E19+'10. NGVK'!I19+'10. NGVK'!L19</f>
        <v>600000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>'10. NGVK'!D20+'10. NGVK'!H20+'10. NGVK'!L20</f>
        <v>0</v>
      </c>
      <c r="O20" s="391">
        <f>'10. NGVK'!E20+'10. NGVK'!I20+'10. NGVK'!L20</f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>'10. NGVK'!D21+'10. NGVK'!H21+'10. NGVK'!L21</f>
        <v>0</v>
      </c>
      <c r="O21" s="391">
        <f>'10. NGVK'!E21+'10. NGVK'!I21+'10. NGVK'!L21</f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/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>'10. NGVK'!D22+'10. NGVK'!H22+'10. NGVK'!L22</f>
        <v>0</v>
      </c>
      <c r="O22" s="391">
        <f>'10. NGVK'!E22+'10. NGVK'!I22+'10. NGVK'!L22</f>
        <v>0</v>
      </c>
    </row>
    <row r="23" spans="1:15" x14ac:dyDescent="0.25">
      <c r="A23" s="396" t="s">
        <v>19</v>
      </c>
      <c r="B23" s="351" t="s">
        <v>80</v>
      </c>
      <c r="C23" s="389">
        <f>C5+C6+C11+C12+C19+C20+C21+C22</f>
        <v>600000</v>
      </c>
      <c r="D23" s="389">
        <f>D5+D6+D11+D12+D19+D20+D21+D22</f>
        <v>600000</v>
      </c>
      <c r="E23" s="389">
        <f>E5+E6+E11+E12+E19+E20+E21+E22</f>
        <v>600000</v>
      </c>
      <c r="F23" s="389"/>
      <c r="G23" s="389">
        <f t="shared" ref="G23:L23" si="1">G5+G6+G11+G12+G19+G20+G21+G22</f>
        <v>0</v>
      </c>
      <c r="H23" s="389">
        <f t="shared" si="1"/>
        <v>0</v>
      </c>
      <c r="I23" s="389">
        <f t="shared" si="1"/>
        <v>0</v>
      </c>
      <c r="J23" s="389">
        <f t="shared" si="1"/>
        <v>0</v>
      </c>
      <c r="K23" s="389">
        <f t="shared" si="1"/>
        <v>0</v>
      </c>
      <c r="L23" s="389">
        <f t="shared" si="1"/>
        <v>0</v>
      </c>
      <c r="M23" s="391">
        <f t="shared" si="0"/>
        <v>600000</v>
      </c>
      <c r="N23" s="391">
        <f>'10. NGVK'!D23+'10. NGVK'!H23+'10. NGVK'!L23</f>
        <v>600000</v>
      </c>
      <c r="O23" s="391">
        <f>'10. NGVK'!E23+'10. NGVK'!I23+'10. NGVK'!L23</f>
        <v>600000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/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>'10. NGVK'!D24+'10. NGVK'!H24+'10. NGVK'!L24</f>
        <v>0</v>
      </c>
      <c r="O24" s="391">
        <f>'10. NGVK'!E24+'10. NGVK'!I24+'10. NGVK'!L24</f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/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>C26+G26+K26</f>
        <v>0</v>
      </c>
      <c r="N26" s="391">
        <f>'10. NGVK'!D26+'10. NGVK'!H26+'10. NGVK'!L26</f>
        <v>0</v>
      </c>
      <c r="O26" s="391">
        <f>'10. NGVK'!E26+'10. NGVK'!I26+'10. NGVK'!L26</f>
        <v>0</v>
      </c>
    </row>
    <row r="27" spans="1:15" x14ac:dyDescent="0.25">
      <c r="A27" s="387" t="s">
        <v>22</v>
      </c>
      <c r="B27" s="350" t="s">
        <v>152</v>
      </c>
      <c r="C27" s="389">
        <v>0</v>
      </c>
      <c r="D27" s="389">
        <v>0</v>
      </c>
      <c r="E27" s="389">
        <v>107591</v>
      </c>
      <c r="F27" s="389"/>
      <c r="G27" s="389">
        <v>0</v>
      </c>
      <c r="H27" s="389">
        <v>0</v>
      </c>
      <c r="I27" s="389">
        <v>0</v>
      </c>
      <c r="J27" s="389">
        <v>0</v>
      </c>
      <c r="K27" s="389">
        <v>0</v>
      </c>
      <c r="L27" s="389">
        <v>0</v>
      </c>
      <c r="M27" s="391">
        <f>C27+G27+K27</f>
        <v>0</v>
      </c>
      <c r="N27" s="391">
        <f>'10. NGVK'!D27+'10. NGVK'!H27+'10. NGVK'!L27</f>
        <v>0</v>
      </c>
      <c r="O27" s="391">
        <f>'10. NGVK'!E27+'10. NGVK'!I27+'10. NGVK'!L27</f>
        <v>107591</v>
      </c>
    </row>
    <row r="28" spans="1:15" x14ac:dyDescent="0.25">
      <c r="A28" s="395" t="s">
        <v>23</v>
      </c>
      <c r="B28" s="349" t="s">
        <v>83</v>
      </c>
      <c r="C28" s="389">
        <f>+C29</f>
        <v>24355000</v>
      </c>
      <c r="D28" s="389">
        <f>+D29</f>
        <v>24355000</v>
      </c>
      <c r="E28" s="389">
        <f>+D28</f>
        <v>24355000</v>
      </c>
      <c r="F28" s="389"/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>C28+G28+K28</f>
        <v>24355000</v>
      </c>
      <c r="N28" s="391">
        <f>'10. NGVK'!D28+'10. NGVK'!H28+'10. NGVK'!L28</f>
        <v>24355000</v>
      </c>
      <c r="O28" s="391">
        <f>'10. NGVK'!E28+'10. NGVK'!I28+'10. NGVK'!L28</f>
        <v>24355000</v>
      </c>
    </row>
    <row r="29" spans="1:15" x14ac:dyDescent="0.25">
      <c r="A29" s="395" t="s">
        <v>114</v>
      </c>
      <c r="B29" s="349" t="s">
        <v>84</v>
      </c>
      <c r="C29" s="389">
        <v>24355000</v>
      </c>
      <c r="D29" s="389">
        <f>+C29</f>
        <v>24355000</v>
      </c>
      <c r="E29" s="389">
        <f>+D29</f>
        <v>24355000</v>
      </c>
      <c r="F29" s="389"/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>C29+G29+K29</f>
        <v>24355000</v>
      </c>
      <c r="N29" s="391">
        <f>'10. NGVK'!D29+'10. NGVK'!H29+'10. NGVK'!L29</f>
        <v>24355000</v>
      </c>
      <c r="O29" s="391">
        <f>'10. NGVK'!E29+'10. NGVK'!I29+'10. NGVK'!L29</f>
        <v>24355000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/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>C31+G31+K31</f>
        <v>0</v>
      </c>
      <c r="N31" s="391">
        <f>'10. NGVK'!D31+'10. NGVK'!H31+'10. NGVK'!L31</f>
        <v>0</v>
      </c>
      <c r="O31" s="391">
        <f>'10. NGVK'!E31+'10. NGVK'!I31+'10. NGVK'!L31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/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>C32+G32+K32</f>
        <v>0</v>
      </c>
      <c r="N32" s="391">
        <f>'10. NGVK'!D32+'10. NGVK'!H32+'10. NGVK'!L32</f>
        <v>0</v>
      </c>
      <c r="O32" s="391">
        <f>'10. NGVK'!E32+'10. NGVK'!I32+'10. NGVK'!L32</f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24355000</v>
      </c>
      <c r="D33" s="389">
        <f>D24+D26+D27+D28+D31+D32</f>
        <v>24355000</v>
      </c>
      <c r="E33" s="389">
        <f>E24+E26+E27+E28+E31+E32</f>
        <v>24462591</v>
      </c>
      <c r="F33" s="389"/>
      <c r="G33" s="389">
        <f t="shared" ref="G33:L33" si="2">G24+G26+G27+G28+G31+G32</f>
        <v>0</v>
      </c>
      <c r="H33" s="389">
        <f t="shared" si="2"/>
        <v>0</v>
      </c>
      <c r="I33" s="389">
        <f t="shared" si="2"/>
        <v>0</v>
      </c>
      <c r="J33" s="389">
        <f t="shared" si="2"/>
        <v>0</v>
      </c>
      <c r="K33" s="389">
        <f t="shared" si="2"/>
        <v>0</v>
      </c>
      <c r="L33" s="389">
        <f t="shared" si="2"/>
        <v>0</v>
      </c>
      <c r="M33" s="391">
        <f>C33+G33+K33</f>
        <v>24355000</v>
      </c>
      <c r="N33" s="391">
        <f>'10. NGVK'!D33+'10. NGVK'!H33+'10. NGVK'!L33</f>
        <v>24355000</v>
      </c>
      <c r="O33" s="391">
        <f>'10. NGVK'!E33+'10. NGVK'!I33+'10. NGVK'!L33</f>
        <v>24462591</v>
      </c>
    </row>
    <row r="34" spans="1:15" ht="21" x14ac:dyDescent="0.25">
      <c r="A34" s="398" t="s">
        <v>27</v>
      </c>
      <c r="B34" s="353" t="s">
        <v>88</v>
      </c>
      <c r="C34" s="400">
        <f>C23+C33</f>
        <v>24955000</v>
      </c>
      <c r="D34" s="400">
        <f>D23+D33</f>
        <v>24955000</v>
      </c>
      <c r="E34" s="400">
        <f>E23+E33</f>
        <v>25062591</v>
      </c>
      <c r="F34" s="400"/>
      <c r="G34" s="400">
        <f t="shared" ref="G34:L34" si="3">G23+G33</f>
        <v>0</v>
      </c>
      <c r="H34" s="400">
        <f t="shared" si="3"/>
        <v>0</v>
      </c>
      <c r="I34" s="400">
        <f t="shared" si="3"/>
        <v>0</v>
      </c>
      <c r="J34" s="400">
        <f t="shared" si="3"/>
        <v>0</v>
      </c>
      <c r="K34" s="400">
        <f t="shared" si="3"/>
        <v>0</v>
      </c>
      <c r="L34" s="400">
        <f t="shared" si="3"/>
        <v>0</v>
      </c>
      <c r="M34" s="402">
        <f>C34+G34+K34</f>
        <v>24955000</v>
      </c>
      <c r="N34" s="402">
        <f>'10. NGVK'!D34+'10. NGVK'!H34+'10. NGVK'!L34</f>
        <v>24955000</v>
      </c>
      <c r="O34" s="402">
        <f>'10. NGVK'!E34+'10. NGVK'!I34+'10. NGVK'!L34</f>
        <v>25062591</v>
      </c>
    </row>
    <row r="35" spans="1:15" x14ac:dyDescent="0.25">
      <c r="A35" s="403"/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418" t="s">
        <v>5</v>
      </c>
      <c r="C36" s="416"/>
      <c r="D36" s="416"/>
      <c r="E36" s="416"/>
      <c r="F36" s="416"/>
      <c r="G36" s="416"/>
      <c r="H36" s="416"/>
      <c r="I36" s="416"/>
      <c r="J36" s="416"/>
      <c r="K36" s="1101" t="s">
        <v>339</v>
      </c>
      <c r="L36" s="1101"/>
      <c r="M36" s="1102"/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92">
        <f>C39+C40+C41+C42+C43+C48</f>
        <v>22955000</v>
      </c>
      <c r="D38" s="392">
        <f>D39+D40+D41+D42+D43+D48</f>
        <v>22955000</v>
      </c>
      <c r="E38" s="392">
        <f>E39+E40+E41+E42+E43+E48</f>
        <v>22905000</v>
      </c>
      <c r="F38" s="392"/>
      <c r="G38" s="392">
        <f t="shared" ref="G38:L38" si="4">G39+G40+G41+G42+G43+G48</f>
        <v>0</v>
      </c>
      <c r="H38" s="392">
        <f t="shared" si="4"/>
        <v>0</v>
      </c>
      <c r="I38" s="392">
        <f t="shared" si="4"/>
        <v>0</v>
      </c>
      <c r="J38" s="392">
        <f t="shared" si="4"/>
        <v>0</v>
      </c>
      <c r="K38" s="392">
        <f t="shared" si="4"/>
        <v>0</v>
      </c>
      <c r="L38" s="392">
        <f t="shared" si="4"/>
        <v>0</v>
      </c>
      <c r="M38" s="391">
        <f t="shared" ref="M38:M43" si="5">C38+G38+K38</f>
        <v>22955000</v>
      </c>
      <c r="N38" s="391">
        <f>'10. NGVK'!D38+'10. NGVK'!H38+'10. NGVK'!L38</f>
        <v>22955000</v>
      </c>
      <c r="O38" s="391">
        <f>'10. NGVK'!E38+'10. NGVK'!I38+'10. NGVK'!L38</f>
        <v>22905000</v>
      </c>
    </row>
    <row r="39" spans="1:15" x14ac:dyDescent="0.25">
      <c r="A39" s="425" t="s">
        <v>53</v>
      </c>
      <c r="B39" s="349" t="s">
        <v>6</v>
      </c>
      <c r="C39" s="389">
        <v>17400000</v>
      </c>
      <c r="D39" s="389">
        <f>+C39</f>
        <v>17400000</v>
      </c>
      <c r="E39" s="389">
        <f>+D39</f>
        <v>17400000</v>
      </c>
      <c r="F39" s="389"/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5"/>
        <v>17400000</v>
      </c>
      <c r="N39" s="391">
        <f>'10. NGVK'!D39+'10. NGVK'!H39+'10. NGVK'!L39</f>
        <v>17400000</v>
      </c>
      <c r="O39" s="391">
        <f>'10. NGVK'!E39+'10. NGVK'!I39+'10. NGVK'!L39</f>
        <v>17400000</v>
      </c>
    </row>
    <row r="40" spans="1:15" x14ac:dyDescent="0.25">
      <c r="A40" s="425" t="s">
        <v>54</v>
      </c>
      <c r="B40" s="349" t="s">
        <v>94</v>
      </c>
      <c r="C40" s="389">
        <v>2748000</v>
      </c>
      <c r="D40" s="389">
        <f>+C40</f>
        <v>2748000</v>
      </c>
      <c r="E40" s="389">
        <f>+D40</f>
        <v>2748000</v>
      </c>
      <c r="F40" s="389"/>
      <c r="G40" s="426">
        <v>0</v>
      </c>
      <c r="H40" s="426">
        <v>0</v>
      </c>
      <c r="I40" s="426">
        <v>0</v>
      </c>
      <c r="J40" s="426">
        <v>0</v>
      </c>
      <c r="K40" s="389">
        <v>0</v>
      </c>
      <c r="L40" s="389">
        <v>0</v>
      </c>
      <c r="M40" s="391">
        <f t="shared" si="5"/>
        <v>2748000</v>
      </c>
      <c r="N40" s="391">
        <f>'10. NGVK'!D40+'10. NGVK'!H40+'10. NGVK'!L40</f>
        <v>2748000</v>
      </c>
      <c r="O40" s="391">
        <f>'10. NGVK'!E40+'10. NGVK'!I40+'10. NGVK'!L40</f>
        <v>2748000</v>
      </c>
    </row>
    <row r="41" spans="1:15" x14ac:dyDescent="0.25">
      <c r="A41" s="425" t="s">
        <v>55</v>
      </c>
      <c r="B41" s="349" t="s">
        <v>95</v>
      </c>
      <c r="C41" s="389">
        <v>2807000</v>
      </c>
      <c r="D41" s="389">
        <f>+C41</f>
        <v>2807000</v>
      </c>
      <c r="E41" s="389">
        <f>+D41-50000</f>
        <v>2757000</v>
      </c>
      <c r="F41" s="389"/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5"/>
        <v>2807000</v>
      </c>
      <c r="N41" s="391">
        <f>'10. NGVK'!D41+'10. NGVK'!H41+'10. NGVK'!L41</f>
        <v>2807000</v>
      </c>
      <c r="O41" s="391">
        <f>'10. NGVK'!E41+'10. NGVK'!I41+'10. NGVK'!L41</f>
        <v>2757000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428"/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5"/>
        <v>0</v>
      </c>
      <c r="N42" s="391">
        <f>'10. NGVK'!D42+'10. NGVK'!H42+'10. NGVK'!L42</f>
        <v>0</v>
      </c>
      <c r="O42" s="391">
        <f>'10. NGVK'!E42+'10. NGVK'!I42+'10. NGVK'!L42</f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89"/>
      <c r="E43" s="389"/>
      <c r="F43" s="389"/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5"/>
        <v>0</v>
      </c>
      <c r="N43" s="391">
        <f>'10. NGVK'!D43+'10. NGVK'!H43+'10. NGVK'!L43</f>
        <v>0</v>
      </c>
      <c r="O43" s="391">
        <f>'10. NGVK'!E43+'10. NGVK'!I43+'10. NGVK'!L43</f>
        <v>0</v>
      </c>
    </row>
    <row r="44" spans="1:15" x14ac:dyDescent="0.25">
      <c r="A44" s="430" t="s">
        <v>91</v>
      </c>
      <c r="B44" s="349" t="s">
        <v>330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432" t="s">
        <v>98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432" t="s">
        <v>99</v>
      </c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/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'10. NGVK'!D48+'10. NGVK'!H48+'10. NGVK'!L48</f>
        <v>0</v>
      </c>
      <c r="O48" s="391">
        <f>'10. NGVK'!E48+'10. NGVK'!I48+'10. NGVK'!L48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391"/>
      <c r="O49" s="391"/>
    </row>
    <row r="50" spans="1:15" x14ac:dyDescent="0.25">
      <c r="A50" s="431" t="s">
        <v>12</v>
      </c>
      <c r="B50" s="350" t="s">
        <v>100</v>
      </c>
      <c r="C50" s="389">
        <f>C51+C52+C53</f>
        <v>2000000</v>
      </c>
      <c r="D50" s="389">
        <f>D51+D52+D53</f>
        <v>2000000</v>
      </c>
      <c r="E50" s="389">
        <f>E51+E52+E53</f>
        <v>2157591</v>
      </c>
      <c r="F50" s="389"/>
      <c r="G50" s="389">
        <f t="shared" ref="G50:L50" si="6">G51+G52+G53</f>
        <v>0</v>
      </c>
      <c r="H50" s="389">
        <f t="shared" si="6"/>
        <v>0</v>
      </c>
      <c r="I50" s="389">
        <f t="shared" si="6"/>
        <v>0</v>
      </c>
      <c r="J50" s="389">
        <f t="shared" si="6"/>
        <v>0</v>
      </c>
      <c r="K50" s="389">
        <f t="shared" si="6"/>
        <v>0</v>
      </c>
      <c r="L50" s="389">
        <f t="shared" si="6"/>
        <v>0</v>
      </c>
      <c r="M50" s="391">
        <f t="shared" ref="M50:M55" si="7">C50+G50+K50</f>
        <v>2000000</v>
      </c>
      <c r="N50" s="391">
        <f>'10. NGVK'!D50+'10. NGVK'!H50+'10. NGVK'!L50</f>
        <v>2000000</v>
      </c>
      <c r="O50" s="391">
        <f>'10. NGVK'!E50+'10. NGVK'!I50+'10. NGVK'!L50</f>
        <v>2157591</v>
      </c>
    </row>
    <row r="51" spans="1:15" x14ac:dyDescent="0.25">
      <c r="A51" s="430" t="s">
        <v>49</v>
      </c>
      <c r="B51" s="349" t="s">
        <v>9</v>
      </c>
      <c r="C51" s="389">
        <v>2000000</v>
      </c>
      <c r="D51" s="389">
        <f>+C51</f>
        <v>2000000</v>
      </c>
      <c r="E51" s="389">
        <f>+D51</f>
        <v>2000000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7"/>
        <v>2000000</v>
      </c>
      <c r="N51" s="391">
        <f>'10. NGVK'!D51+'10. NGVK'!H51+'10. NGVK'!L51</f>
        <v>2000000</v>
      </c>
      <c r="O51" s="391">
        <f>'10. NGVK'!E51+'10. NGVK'!I51+'10. NGVK'!L51</f>
        <v>2000000</v>
      </c>
    </row>
    <row r="52" spans="1:15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f>107591+50000</f>
        <v>157591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7"/>
        <v>0</v>
      </c>
      <c r="N52" s="391">
        <f>'10. NGVK'!D52+'10. NGVK'!H52+'10. NGVK'!L52</f>
        <v>0</v>
      </c>
      <c r="O52" s="391">
        <f>'10. NGVK'!E52+'10. NGVK'!I52+'10. NGVK'!L52</f>
        <v>157591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7"/>
        <v>0</v>
      </c>
      <c r="N53" s="391">
        <f>'10. NGVK'!D53+'10. NGVK'!H53+'10. NGVK'!L53</f>
        <v>0</v>
      </c>
      <c r="O53" s="391">
        <f>'10. NGVK'!E53+'10. NGVK'!I53+'10. NGVK'!L53</f>
        <v>0</v>
      </c>
    </row>
    <row r="54" spans="1:15" x14ac:dyDescent="0.25">
      <c r="A54" s="433" t="s">
        <v>13</v>
      </c>
      <c r="B54" s="351" t="s">
        <v>102</v>
      </c>
      <c r="C54" s="389">
        <f>C38+C50</f>
        <v>24955000</v>
      </c>
      <c r="D54" s="389">
        <f>D38+D50</f>
        <v>24955000</v>
      </c>
      <c r="E54" s="389">
        <f>E38+E50</f>
        <v>25062591</v>
      </c>
      <c r="F54" s="389"/>
      <c r="G54" s="389">
        <f t="shared" ref="G54:L54" si="8">G38+G50</f>
        <v>0</v>
      </c>
      <c r="H54" s="389">
        <f t="shared" si="8"/>
        <v>0</v>
      </c>
      <c r="I54" s="389">
        <f t="shared" si="8"/>
        <v>0</v>
      </c>
      <c r="J54" s="389">
        <f t="shared" si="8"/>
        <v>0</v>
      </c>
      <c r="K54" s="389">
        <f t="shared" si="8"/>
        <v>0</v>
      </c>
      <c r="L54" s="389">
        <f t="shared" si="8"/>
        <v>0</v>
      </c>
      <c r="M54" s="391">
        <f t="shared" si="7"/>
        <v>24955000</v>
      </c>
      <c r="N54" s="391">
        <f>'10. NGVK'!D54+'10. NGVK'!H54+'10. NGVK'!L54</f>
        <v>24955000</v>
      </c>
      <c r="O54" s="391">
        <f>'10. NGVK'!E54+'10. NGVK'!I54+'10. NGVK'!L54</f>
        <v>25062591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7"/>
        <v>0</v>
      </c>
      <c r="N55" s="391">
        <f>'10. NGVK'!D55+'10. NGVK'!H55+'10. NGVK'!L55</f>
        <v>0</v>
      </c>
      <c r="O55" s="391">
        <f>'10. NGVK'!E55+'10. NGVK'!I55+'10. NGVK'!L55</f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>C57+G57+K57</f>
        <v>0</v>
      </c>
      <c r="N57" s="391">
        <f>'10. NGVK'!D57+'10. NGVK'!H57+'10. NGVK'!L57</f>
        <v>0</v>
      </c>
      <c r="O57" s="391">
        <f>'10. NGVK'!E57+'10. NGVK'!I57+'10. NGVK'!L57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>C58+G58+K58</f>
        <v>0</v>
      </c>
      <c r="N58" s="391">
        <f>'10. NGVK'!D58+'10. NGVK'!H58+'10. NGVK'!L58</f>
        <v>0</v>
      </c>
      <c r="O58" s="391">
        <f>'10. NGVK'!E58+'10. NGVK'!I58+'10. NGVK'!L58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>C59+G59+K59</f>
        <v>0</v>
      </c>
      <c r="N59" s="391">
        <f>'10. NGVK'!D59+'10. NGVK'!H59+'10. NGVK'!L59</f>
        <v>0</v>
      </c>
      <c r="O59" s="391">
        <f>'10. NGVK'!E59+'10. NGVK'!I59+'10. NGVK'!L59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>C61+G61+K61</f>
        <v>0</v>
      </c>
      <c r="N61" s="391">
        <f>'10. NGVK'!D61+'10. NGVK'!H61+'10. NGVK'!L61</f>
        <v>0</v>
      </c>
      <c r="O61" s="391">
        <f>'10. NGVK'!E61+'10. NGVK'!I61+'10. NGVK'!L61</f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9">G55+G57+G58+G61</f>
        <v>0</v>
      </c>
      <c r="H62" s="389">
        <f t="shared" si="9"/>
        <v>0</v>
      </c>
      <c r="I62" s="389">
        <f t="shared" si="9"/>
        <v>0</v>
      </c>
      <c r="J62" s="389">
        <f t="shared" si="9"/>
        <v>0</v>
      </c>
      <c r="K62" s="389">
        <f t="shared" si="9"/>
        <v>0</v>
      </c>
      <c r="L62" s="389">
        <f t="shared" si="9"/>
        <v>0</v>
      </c>
      <c r="M62" s="391">
        <f>C62+G62+K62</f>
        <v>0</v>
      </c>
      <c r="N62" s="391">
        <f>'10. NGVK'!D62+'10. NGVK'!H62+'10. NGVK'!L62</f>
        <v>0</v>
      </c>
      <c r="O62" s="391">
        <f>'10. NGVK'!E62+'10. NGVK'!I62+'10. NGVK'!L62</f>
        <v>0</v>
      </c>
    </row>
    <row r="63" spans="1:15" ht="21" x14ac:dyDescent="0.25">
      <c r="A63" s="613" t="s">
        <v>20</v>
      </c>
      <c r="B63" s="614" t="s">
        <v>107</v>
      </c>
      <c r="C63" s="389">
        <f>C54+C62</f>
        <v>24955000</v>
      </c>
      <c r="D63" s="389">
        <f>D54+D62</f>
        <v>24955000</v>
      </c>
      <c r="E63" s="389">
        <f>E54+E62</f>
        <v>25062591</v>
      </c>
      <c r="F63" s="389"/>
      <c r="G63" s="389">
        <f t="shared" ref="G63:L63" si="10">G54+G62</f>
        <v>0</v>
      </c>
      <c r="H63" s="389">
        <f t="shared" si="10"/>
        <v>0</v>
      </c>
      <c r="I63" s="389">
        <f t="shared" si="10"/>
        <v>0</v>
      </c>
      <c r="J63" s="389">
        <f t="shared" si="10"/>
        <v>0</v>
      </c>
      <c r="K63" s="389">
        <f t="shared" si="10"/>
        <v>0</v>
      </c>
      <c r="L63" s="389">
        <f t="shared" si="10"/>
        <v>0</v>
      </c>
      <c r="M63" s="391">
        <f>C63+G63+K63</f>
        <v>24955000</v>
      </c>
      <c r="N63" s="391">
        <f>'10. NGVK'!D63+'10. NGVK'!H63+'10. NGVK'!L63</f>
        <v>24955000</v>
      </c>
      <c r="O63" s="391">
        <f>'10. NGVK'!E63+'10. NGVK'!I63+'10. NGVK'!L63</f>
        <v>25062591</v>
      </c>
    </row>
    <row r="64" spans="1:15" x14ac:dyDescent="0.25">
      <c r="A64" s="436"/>
      <c r="B64" s="436"/>
      <c r="C64" s="436">
        <f t="shared" ref="C64:O64" si="11">+C63-C34</f>
        <v>0</v>
      </c>
      <c r="D64" s="436">
        <f t="shared" si="11"/>
        <v>0</v>
      </c>
      <c r="E64" s="436">
        <f t="shared" si="11"/>
        <v>0</v>
      </c>
      <c r="F64" s="436">
        <f t="shared" si="11"/>
        <v>0</v>
      </c>
      <c r="G64" s="436">
        <f t="shared" si="11"/>
        <v>0</v>
      </c>
      <c r="H64" s="436">
        <f t="shared" si="11"/>
        <v>0</v>
      </c>
      <c r="I64" s="436">
        <f t="shared" si="11"/>
        <v>0</v>
      </c>
      <c r="J64" s="436">
        <f t="shared" si="11"/>
        <v>0</v>
      </c>
      <c r="K64" s="436">
        <f t="shared" si="11"/>
        <v>0</v>
      </c>
      <c r="L64" s="436">
        <f t="shared" si="11"/>
        <v>0</v>
      </c>
      <c r="M64" s="436">
        <f t="shared" si="11"/>
        <v>0</v>
      </c>
      <c r="N64" s="436">
        <f t="shared" si="11"/>
        <v>0</v>
      </c>
      <c r="O64" s="436">
        <f t="shared" si="11"/>
        <v>0</v>
      </c>
    </row>
    <row r="65" spans="1:15" x14ac:dyDescent="0.25">
      <c r="A65" s="435"/>
      <c r="B65" s="440"/>
      <c r="C65" s="394"/>
      <c r="D65" s="394">
        <f>+D63-D34</f>
        <v>0</v>
      </c>
      <c r="E65" s="394">
        <f>+E63-E34</f>
        <v>0</v>
      </c>
      <c r="F65" s="394">
        <f>+F63-F34</f>
        <v>0</v>
      </c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3">
    <mergeCell ref="K36:M36"/>
    <mergeCell ref="L1:O1"/>
    <mergeCell ref="A2:O2"/>
  </mergeCells>
  <printOptions horizontalCentered="1"/>
  <pageMargins left="0.21" right="0.17" top="0.32" bottom="0.38" header="0.16" footer="0.17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44" style="382" customWidth="1"/>
    <col min="3" max="3" width="10.140625" style="382" customWidth="1"/>
    <col min="4" max="4" width="10.5703125" style="382" hidden="1" customWidth="1"/>
    <col min="5" max="5" width="10.28515625" style="382" customWidth="1"/>
    <col min="6" max="6" width="10.5703125" style="382" hidden="1" customWidth="1"/>
    <col min="7" max="7" width="9.140625" style="382" customWidth="1"/>
    <col min="8" max="8" width="10" style="382" hidden="1" customWidth="1"/>
    <col min="9" max="9" width="9.140625" style="382" customWidth="1"/>
    <col min="10" max="10" width="10" style="382" hidden="1" customWidth="1"/>
    <col min="11" max="11" width="8.85546875" style="382"/>
    <col min="12" max="12" width="9.42578125" style="382" customWidth="1"/>
    <col min="13" max="13" width="10.5703125" style="382" customWidth="1"/>
    <col min="14" max="14" width="12.85546875" style="382" hidden="1" customWidth="1"/>
    <col min="15" max="15" width="10.28515625" style="382" customWidth="1"/>
  </cols>
  <sheetData>
    <row r="1" spans="1:15" ht="41.25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673</v>
      </c>
      <c r="M1" s="1086"/>
      <c r="N1" s="1086"/>
      <c r="O1" s="1086"/>
    </row>
    <row r="2" spans="1:15" ht="30.75" customHeight="1" x14ac:dyDescent="0.25">
      <c r="A2" s="1103" t="s">
        <v>672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L3" s="466"/>
      <c r="M3" s="466" t="s">
        <v>339</v>
      </c>
      <c r="N3" s="46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D5+H5+L5</f>
        <v>0</v>
      </c>
      <c r="O5" s="391">
        <f>E5+I5+L5</f>
        <v>0</v>
      </c>
    </row>
    <row r="6" spans="1:15" ht="21" x14ac:dyDescent="0.25">
      <c r="A6" s="387" t="s">
        <v>12</v>
      </c>
      <c r="B6" s="348" t="s">
        <v>156</v>
      </c>
      <c r="C6" s="389">
        <f>SUM(C7:C10)</f>
        <v>235048000</v>
      </c>
      <c r="D6" s="389">
        <f>+C6</f>
        <v>235048000</v>
      </c>
      <c r="E6" s="389">
        <f>+D6</f>
        <v>235048000</v>
      </c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 t="shared" ref="M6:M34" si="0">C6+G6+K6</f>
        <v>235048000</v>
      </c>
      <c r="N6" s="391">
        <f t="shared" ref="N6:N34" si="1">D6+H6+L6</f>
        <v>235048000</v>
      </c>
      <c r="O6" s="391">
        <f t="shared" ref="O6:O34" si="2">E6+I6+L6</f>
        <v>235048000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>
        <f t="shared" si="0"/>
        <v>0</v>
      </c>
      <c r="N7" s="391">
        <f t="shared" si="1"/>
        <v>0</v>
      </c>
      <c r="O7" s="391">
        <f t="shared" si="2"/>
        <v>0</v>
      </c>
    </row>
    <row r="8" spans="1:15" x14ac:dyDescent="0.25">
      <c r="A8" s="395" t="s">
        <v>71</v>
      </c>
      <c r="B8" s="349" t="s">
        <v>363</v>
      </c>
      <c r="C8" s="389">
        <v>235048000</v>
      </c>
      <c r="D8" s="389">
        <f>+C8</f>
        <v>235048000</v>
      </c>
      <c r="E8" s="389">
        <f>+D8</f>
        <v>235048000</v>
      </c>
      <c r="F8" s="389"/>
      <c r="G8" s="389">
        <v>0</v>
      </c>
      <c r="H8" s="389"/>
      <c r="I8" s="389"/>
      <c r="J8" s="389"/>
      <c r="K8" s="389">
        <v>0</v>
      </c>
      <c r="L8" s="389"/>
      <c r="M8" s="391">
        <f t="shared" si="0"/>
        <v>235048000</v>
      </c>
      <c r="N8" s="391">
        <f t="shared" si="1"/>
        <v>235048000</v>
      </c>
      <c r="O8" s="391">
        <f t="shared" si="2"/>
        <v>235048000</v>
      </c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>
        <f t="shared" si="0"/>
        <v>0</v>
      </c>
      <c r="N9" s="391">
        <f t="shared" si="1"/>
        <v>0</v>
      </c>
      <c r="O9" s="391">
        <f t="shared" si="2"/>
        <v>0</v>
      </c>
    </row>
    <row r="10" spans="1:15" ht="22.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>
        <f t="shared" si="0"/>
        <v>0</v>
      </c>
      <c r="N10" s="391">
        <f t="shared" si="1"/>
        <v>0</v>
      </c>
      <c r="O10" s="391">
        <f t="shared" si="2"/>
        <v>0</v>
      </c>
    </row>
    <row r="11" spans="1:15" ht="21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 t="shared" si="0"/>
        <v>0</v>
      </c>
      <c r="N11" s="391">
        <f t="shared" si="1"/>
        <v>0</v>
      </c>
      <c r="O11" s="391">
        <f t="shared" si="2"/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 t="shared" si="0"/>
        <v>0</v>
      </c>
      <c r="N12" s="391">
        <f t="shared" si="1"/>
        <v>0</v>
      </c>
      <c r="O12" s="391">
        <f t="shared" si="2"/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>
        <f t="shared" si="0"/>
        <v>0</v>
      </c>
      <c r="N13" s="391">
        <f t="shared" si="1"/>
        <v>0</v>
      </c>
      <c r="O13" s="391">
        <f t="shared" si="2"/>
        <v>0</v>
      </c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>
        <f t="shared" si="0"/>
        <v>0</v>
      </c>
      <c r="N14" s="391">
        <f t="shared" si="1"/>
        <v>0</v>
      </c>
      <c r="O14" s="391">
        <f t="shared" si="2"/>
        <v>0</v>
      </c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>
        <f t="shared" si="0"/>
        <v>0</v>
      </c>
      <c r="N15" s="391">
        <f t="shared" si="1"/>
        <v>0</v>
      </c>
      <c r="O15" s="391">
        <f t="shared" si="2"/>
        <v>0</v>
      </c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>
        <f t="shared" si="0"/>
        <v>0</v>
      </c>
      <c r="N16" s="391">
        <f t="shared" si="1"/>
        <v>0</v>
      </c>
      <c r="O16" s="391">
        <f t="shared" si="2"/>
        <v>0</v>
      </c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>
        <f t="shared" si="0"/>
        <v>0</v>
      </c>
      <c r="N17" s="391">
        <f t="shared" si="1"/>
        <v>0</v>
      </c>
      <c r="O17" s="391">
        <f t="shared" si="2"/>
        <v>0</v>
      </c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>
        <f t="shared" si="0"/>
        <v>0</v>
      </c>
      <c r="N18" s="391">
        <f t="shared" si="1"/>
        <v>0</v>
      </c>
      <c r="O18" s="391">
        <f t="shared" si="2"/>
        <v>0</v>
      </c>
    </row>
    <row r="19" spans="1:15" x14ac:dyDescent="0.25">
      <c r="A19" s="387" t="s">
        <v>15</v>
      </c>
      <c r="B19" s="350" t="s">
        <v>76</v>
      </c>
      <c r="C19" s="389">
        <v>5241000</v>
      </c>
      <c r="D19" s="389">
        <v>7241000</v>
      </c>
      <c r="E19" s="389">
        <f>+D19</f>
        <v>7241000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si="0"/>
        <v>5241000</v>
      </c>
      <c r="N19" s="391">
        <f t="shared" si="1"/>
        <v>7241000</v>
      </c>
      <c r="O19" s="391">
        <f t="shared" si="2"/>
        <v>7241000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 t="shared" si="1"/>
        <v>0</v>
      </c>
      <c r="O20" s="391">
        <f t="shared" si="2"/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 t="shared" si="1"/>
        <v>0</v>
      </c>
      <c r="O21" s="391">
        <f t="shared" si="2"/>
        <v>0</v>
      </c>
    </row>
    <row r="22" spans="1:15" x14ac:dyDescent="0.25">
      <c r="A22" s="387" t="s">
        <v>18</v>
      </c>
      <c r="B22" s="350" t="s">
        <v>79</v>
      </c>
      <c r="C22" s="388">
        <v>0</v>
      </c>
      <c r="D22" s="389">
        <v>0</v>
      </c>
      <c r="E22" s="388">
        <v>0</v>
      </c>
      <c r="F22" s="388"/>
      <c r="G22" s="388">
        <v>0</v>
      </c>
      <c r="H22" s="388">
        <v>0</v>
      </c>
      <c r="I22" s="388">
        <v>0</v>
      </c>
      <c r="J22" s="388">
        <v>0</v>
      </c>
      <c r="K22" s="388">
        <v>0</v>
      </c>
      <c r="L22" s="388">
        <v>0</v>
      </c>
      <c r="M22" s="391">
        <f t="shared" si="0"/>
        <v>0</v>
      </c>
      <c r="N22" s="391">
        <f t="shared" si="1"/>
        <v>0</v>
      </c>
      <c r="O22" s="391">
        <f t="shared" si="2"/>
        <v>0</v>
      </c>
    </row>
    <row r="23" spans="1:15" x14ac:dyDescent="0.25">
      <c r="A23" s="396" t="s">
        <v>19</v>
      </c>
      <c r="B23" s="351" t="s">
        <v>80</v>
      </c>
      <c r="C23" s="388">
        <f>C5+C6+C11+C12+C19+C20+C21+C22</f>
        <v>240289000</v>
      </c>
      <c r="D23" s="389">
        <f>D5+D6+D11+D12+D19+D20+D21+D22</f>
        <v>242289000</v>
      </c>
      <c r="E23" s="388">
        <f>E5+E6+E11+E12+E19+E20+E21+E22</f>
        <v>242289000</v>
      </c>
      <c r="F23" s="388"/>
      <c r="G23" s="388">
        <f t="shared" ref="G23:L23" si="3">G5+G6+G11+G12+G19+G20+G21+G22</f>
        <v>0</v>
      </c>
      <c r="H23" s="388">
        <f t="shared" si="3"/>
        <v>0</v>
      </c>
      <c r="I23" s="388">
        <f t="shared" si="3"/>
        <v>0</v>
      </c>
      <c r="J23" s="388">
        <f t="shared" si="3"/>
        <v>0</v>
      </c>
      <c r="K23" s="388">
        <f t="shared" si="3"/>
        <v>0</v>
      </c>
      <c r="L23" s="388">
        <f t="shared" si="3"/>
        <v>0</v>
      </c>
      <c r="M23" s="391">
        <f t="shared" si="0"/>
        <v>240289000</v>
      </c>
      <c r="N23" s="391">
        <f t="shared" si="1"/>
        <v>242289000</v>
      </c>
      <c r="O23" s="391">
        <f t="shared" si="2"/>
        <v>242289000</v>
      </c>
    </row>
    <row r="24" spans="1:15" x14ac:dyDescent="0.25">
      <c r="A24" s="395" t="s">
        <v>20</v>
      </c>
      <c r="B24" s="349" t="s">
        <v>356</v>
      </c>
      <c r="C24" s="388">
        <v>0</v>
      </c>
      <c r="D24" s="389">
        <v>0</v>
      </c>
      <c r="E24" s="388">
        <v>0</v>
      </c>
      <c r="F24" s="388"/>
      <c r="G24" s="388">
        <v>0</v>
      </c>
      <c r="H24" s="388">
        <v>0</v>
      </c>
      <c r="I24" s="388">
        <v>0</v>
      </c>
      <c r="J24" s="388">
        <v>0</v>
      </c>
      <c r="K24" s="388">
        <v>0</v>
      </c>
      <c r="L24" s="388">
        <v>0</v>
      </c>
      <c r="M24" s="391">
        <f t="shared" si="0"/>
        <v>0</v>
      </c>
      <c r="N24" s="391">
        <f t="shared" si="1"/>
        <v>0</v>
      </c>
      <c r="O24" s="391">
        <f t="shared" si="2"/>
        <v>0</v>
      </c>
    </row>
    <row r="25" spans="1:15" x14ac:dyDescent="0.25">
      <c r="A25" s="395" t="s">
        <v>21</v>
      </c>
      <c r="B25" s="349" t="s">
        <v>357</v>
      </c>
      <c r="C25" s="388"/>
      <c r="D25" s="389"/>
      <c r="E25" s="388"/>
      <c r="F25" s="388"/>
      <c r="G25" s="388"/>
      <c r="H25" s="388"/>
      <c r="I25" s="388"/>
      <c r="J25" s="388"/>
      <c r="K25" s="388"/>
      <c r="L25" s="388"/>
      <c r="M25" s="391">
        <f t="shared" si="0"/>
        <v>0</v>
      </c>
      <c r="N25" s="391">
        <f t="shared" si="1"/>
        <v>0</v>
      </c>
      <c r="O25" s="391">
        <f t="shared" si="2"/>
        <v>0</v>
      </c>
    </row>
    <row r="26" spans="1:15" x14ac:dyDescent="0.25">
      <c r="A26" s="395" t="s">
        <v>21</v>
      </c>
      <c r="B26" s="349" t="s">
        <v>82</v>
      </c>
      <c r="C26" s="388">
        <v>0</v>
      </c>
      <c r="D26" s="389">
        <v>0</v>
      </c>
      <c r="E26" s="388">
        <v>0</v>
      </c>
      <c r="F26" s="388"/>
      <c r="G26" s="388">
        <v>0</v>
      </c>
      <c r="H26" s="388">
        <v>0</v>
      </c>
      <c r="I26" s="388">
        <v>0</v>
      </c>
      <c r="J26" s="388">
        <v>0</v>
      </c>
      <c r="K26" s="388">
        <v>0</v>
      </c>
      <c r="L26" s="388">
        <v>0</v>
      </c>
      <c r="M26" s="391">
        <f t="shared" si="0"/>
        <v>0</v>
      </c>
      <c r="N26" s="391">
        <f t="shared" si="1"/>
        <v>0</v>
      </c>
      <c r="O26" s="391">
        <f t="shared" si="2"/>
        <v>0</v>
      </c>
    </row>
    <row r="27" spans="1:15" x14ac:dyDescent="0.25">
      <c r="A27" s="387" t="s">
        <v>22</v>
      </c>
      <c r="B27" s="350" t="s">
        <v>152</v>
      </c>
      <c r="C27" s="388">
        <v>0</v>
      </c>
      <c r="D27" s="372">
        <v>0</v>
      </c>
      <c r="E27" s="374">
        <v>720605</v>
      </c>
      <c r="F27" s="374"/>
      <c r="G27" s="388">
        <v>0</v>
      </c>
      <c r="H27" s="388">
        <v>0</v>
      </c>
      <c r="I27" s="388">
        <v>0</v>
      </c>
      <c r="J27" s="388">
        <v>0</v>
      </c>
      <c r="K27" s="388">
        <v>0</v>
      </c>
      <c r="L27" s="388">
        <v>0</v>
      </c>
      <c r="M27" s="391">
        <f t="shared" si="0"/>
        <v>0</v>
      </c>
      <c r="N27" s="391">
        <f t="shared" si="1"/>
        <v>0</v>
      </c>
      <c r="O27" s="391">
        <f t="shared" si="2"/>
        <v>720605</v>
      </c>
    </row>
    <row r="28" spans="1:15" x14ac:dyDescent="0.25">
      <c r="A28" s="395" t="s">
        <v>23</v>
      </c>
      <c r="B28" s="349" t="s">
        <v>83</v>
      </c>
      <c r="C28" s="389">
        <f>+C29</f>
        <v>30000000</v>
      </c>
      <c r="D28" s="389">
        <f>+D29</f>
        <v>50395000</v>
      </c>
      <c r="E28" s="388">
        <f>+D28</f>
        <v>50395000</v>
      </c>
      <c r="F28" s="388"/>
      <c r="G28" s="388">
        <v>0</v>
      </c>
      <c r="H28" s="388">
        <v>0</v>
      </c>
      <c r="I28" s="388">
        <v>0</v>
      </c>
      <c r="J28" s="388">
        <v>0</v>
      </c>
      <c r="K28" s="388">
        <v>0</v>
      </c>
      <c r="L28" s="388">
        <v>0</v>
      </c>
      <c r="M28" s="391">
        <f t="shared" si="0"/>
        <v>30000000</v>
      </c>
      <c r="N28" s="391">
        <f t="shared" si="1"/>
        <v>50395000</v>
      </c>
      <c r="O28" s="391">
        <f t="shared" si="2"/>
        <v>50395000</v>
      </c>
    </row>
    <row r="29" spans="1:15" x14ac:dyDescent="0.25">
      <c r="A29" s="395" t="s">
        <v>114</v>
      </c>
      <c r="B29" s="349" t="s">
        <v>84</v>
      </c>
      <c r="C29" s="388">
        <v>30000000</v>
      </c>
      <c r="D29" s="389">
        <f>+C29+22440000+1550000-5595000+2000000</f>
        <v>50395000</v>
      </c>
      <c r="E29" s="388">
        <f>+D29</f>
        <v>50395000</v>
      </c>
      <c r="F29" s="388"/>
      <c r="G29" s="388">
        <v>0</v>
      </c>
      <c r="H29" s="388">
        <v>0</v>
      </c>
      <c r="I29" s="388">
        <v>0</v>
      </c>
      <c r="J29" s="388">
        <v>0</v>
      </c>
      <c r="K29" s="388">
        <v>0</v>
      </c>
      <c r="L29" s="388">
        <v>0</v>
      </c>
      <c r="M29" s="391">
        <f t="shared" si="0"/>
        <v>30000000</v>
      </c>
      <c r="N29" s="391">
        <f t="shared" si="1"/>
        <v>50395000</v>
      </c>
      <c r="O29" s="391">
        <f t="shared" si="2"/>
        <v>50395000</v>
      </c>
    </row>
    <row r="30" spans="1:15" x14ac:dyDescent="0.25">
      <c r="A30" s="395" t="s">
        <v>115</v>
      </c>
      <c r="B30" s="352" t="s">
        <v>210</v>
      </c>
      <c r="C30" s="388"/>
      <c r="D30" s="389"/>
      <c r="E30" s="388"/>
      <c r="F30" s="388"/>
      <c r="G30" s="388"/>
      <c r="H30" s="388"/>
      <c r="I30" s="388"/>
      <c r="J30" s="388"/>
      <c r="K30" s="388"/>
      <c r="L30" s="388"/>
      <c r="M30" s="391">
        <f t="shared" si="0"/>
        <v>0</v>
      </c>
      <c r="N30" s="391">
        <f t="shared" si="1"/>
        <v>0</v>
      </c>
      <c r="O30" s="391">
        <f t="shared" si="2"/>
        <v>0</v>
      </c>
    </row>
    <row r="31" spans="1:15" x14ac:dyDescent="0.25">
      <c r="A31" s="395" t="s">
        <v>24</v>
      </c>
      <c r="B31" s="352" t="s">
        <v>85</v>
      </c>
      <c r="C31" s="388">
        <v>0</v>
      </c>
      <c r="D31" s="389">
        <v>0</v>
      </c>
      <c r="E31" s="388">
        <v>0</v>
      </c>
      <c r="F31" s="388"/>
      <c r="G31" s="388">
        <v>0</v>
      </c>
      <c r="H31" s="388">
        <v>0</v>
      </c>
      <c r="I31" s="388">
        <v>0</v>
      </c>
      <c r="J31" s="388">
        <v>0</v>
      </c>
      <c r="K31" s="388">
        <v>0</v>
      </c>
      <c r="L31" s="388">
        <v>0</v>
      </c>
      <c r="M31" s="391">
        <f t="shared" si="0"/>
        <v>0</v>
      </c>
      <c r="N31" s="391">
        <f t="shared" si="1"/>
        <v>0</v>
      </c>
      <c r="O31" s="391">
        <f t="shared" si="2"/>
        <v>0</v>
      </c>
    </row>
    <row r="32" spans="1:15" x14ac:dyDescent="0.25">
      <c r="A32" s="395" t="s">
        <v>25</v>
      </c>
      <c r="B32" s="352" t="s">
        <v>86</v>
      </c>
      <c r="C32" s="388">
        <v>0</v>
      </c>
      <c r="D32" s="389">
        <v>0</v>
      </c>
      <c r="E32" s="388">
        <v>0</v>
      </c>
      <c r="F32" s="388"/>
      <c r="G32" s="388">
        <v>0</v>
      </c>
      <c r="H32" s="388">
        <v>0</v>
      </c>
      <c r="I32" s="388">
        <v>0</v>
      </c>
      <c r="J32" s="388">
        <v>0</v>
      </c>
      <c r="K32" s="388">
        <v>0</v>
      </c>
      <c r="L32" s="388">
        <v>0</v>
      </c>
      <c r="M32" s="391">
        <f t="shared" si="0"/>
        <v>0</v>
      </c>
      <c r="N32" s="391">
        <f t="shared" si="1"/>
        <v>0</v>
      </c>
      <c r="O32" s="391">
        <f t="shared" si="2"/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30000000</v>
      </c>
      <c r="D33" s="389">
        <f>D24+D26+D27+D28+D31+D32</f>
        <v>50395000</v>
      </c>
      <c r="E33" s="388">
        <f>E24+E26+E27+E28+E31+E32</f>
        <v>51115605</v>
      </c>
      <c r="F33" s="388"/>
      <c r="G33" s="388">
        <f t="shared" ref="G33:L33" si="4">G24+G26+G27+G28+G31+G32</f>
        <v>0</v>
      </c>
      <c r="H33" s="388">
        <f t="shared" si="4"/>
        <v>0</v>
      </c>
      <c r="I33" s="388">
        <f t="shared" si="4"/>
        <v>0</v>
      </c>
      <c r="J33" s="388">
        <f t="shared" si="4"/>
        <v>0</v>
      </c>
      <c r="K33" s="388">
        <f t="shared" si="4"/>
        <v>0</v>
      </c>
      <c r="L33" s="388">
        <f t="shared" si="4"/>
        <v>0</v>
      </c>
      <c r="M33" s="391">
        <f t="shared" si="0"/>
        <v>30000000</v>
      </c>
      <c r="N33" s="391">
        <f t="shared" si="1"/>
        <v>50395000</v>
      </c>
      <c r="O33" s="391">
        <f t="shared" si="2"/>
        <v>51115605</v>
      </c>
    </row>
    <row r="34" spans="1:15" ht="21" x14ac:dyDescent="0.25">
      <c r="A34" s="398" t="s">
        <v>27</v>
      </c>
      <c r="B34" s="353" t="s">
        <v>88</v>
      </c>
      <c r="C34" s="399">
        <f>C23+C33</f>
        <v>270289000</v>
      </c>
      <c r="D34" s="400">
        <f>D23+D33</f>
        <v>292684000</v>
      </c>
      <c r="E34" s="399">
        <f>E23+E33</f>
        <v>293404605</v>
      </c>
      <c r="F34" s="399"/>
      <c r="G34" s="399">
        <f t="shared" ref="G34:L34" si="5">G23+G33</f>
        <v>0</v>
      </c>
      <c r="H34" s="399">
        <f t="shared" si="5"/>
        <v>0</v>
      </c>
      <c r="I34" s="399">
        <f t="shared" si="5"/>
        <v>0</v>
      </c>
      <c r="J34" s="399">
        <f t="shared" si="5"/>
        <v>0</v>
      </c>
      <c r="K34" s="399">
        <f t="shared" si="5"/>
        <v>0</v>
      </c>
      <c r="L34" s="399">
        <f t="shared" si="5"/>
        <v>0</v>
      </c>
      <c r="M34" s="391">
        <f t="shared" si="0"/>
        <v>270289000</v>
      </c>
      <c r="N34" s="391">
        <f t="shared" si="1"/>
        <v>292684000</v>
      </c>
      <c r="O34" s="391">
        <f t="shared" si="2"/>
        <v>293404605</v>
      </c>
    </row>
    <row r="35" spans="1:15" x14ac:dyDescent="0.25">
      <c r="A35" s="403"/>
      <c r="B35" s="408"/>
      <c r="C35" s="404"/>
      <c r="D35" s="405"/>
      <c r="E35" s="404"/>
      <c r="F35" s="404"/>
      <c r="G35" s="404"/>
      <c r="H35" s="404"/>
      <c r="I35" s="404"/>
      <c r="J35" s="404"/>
      <c r="K35" s="404"/>
      <c r="L35" s="404"/>
      <c r="M35" s="406"/>
      <c r="N35" s="407"/>
      <c r="O35" s="407"/>
    </row>
    <row r="36" spans="1:15" x14ac:dyDescent="0.25">
      <c r="A36" s="411"/>
      <c r="B36" s="418" t="s">
        <v>5</v>
      </c>
      <c r="C36" s="419"/>
      <c r="D36" s="419"/>
      <c r="E36" s="419"/>
      <c r="F36" s="419"/>
      <c r="G36" s="419"/>
      <c r="H36" s="419"/>
      <c r="I36" s="419"/>
      <c r="J36" s="419"/>
      <c r="K36" s="1104" t="s">
        <v>339</v>
      </c>
      <c r="L36" s="1104"/>
      <c r="M36" s="1105"/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424">
        <f>C39+C40+C41+C42+C43+C48</f>
        <v>269650000</v>
      </c>
      <c r="D38" s="392">
        <f>D39+D40+D41+D42+D43+D48</f>
        <v>290784000</v>
      </c>
      <c r="E38" s="424">
        <f>E39+E40+E41+E42+E43+E48</f>
        <v>290284000</v>
      </c>
      <c r="F38" s="424"/>
      <c r="G38" s="424">
        <f t="shared" ref="G38:L38" si="6">G39+G40+G41+G42+G43+G48</f>
        <v>0</v>
      </c>
      <c r="H38" s="424">
        <f t="shared" si="6"/>
        <v>0</v>
      </c>
      <c r="I38" s="424">
        <f t="shared" si="6"/>
        <v>0</v>
      </c>
      <c r="J38" s="424">
        <f t="shared" si="6"/>
        <v>0</v>
      </c>
      <c r="K38" s="424">
        <f t="shared" si="6"/>
        <v>0</v>
      </c>
      <c r="L38" s="424">
        <f t="shared" si="6"/>
        <v>0</v>
      </c>
      <c r="M38" s="390">
        <f>C38+G38+K38</f>
        <v>269650000</v>
      </c>
      <c r="N38" s="391">
        <f>D38+H38+L38</f>
        <v>290784000</v>
      </c>
      <c r="O38" s="391">
        <f>E38+I38+L38</f>
        <v>290284000</v>
      </c>
    </row>
    <row r="39" spans="1:15" x14ac:dyDescent="0.25">
      <c r="A39" s="425" t="s">
        <v>53</v>
      </c>
      <c r="B39" s="349" t="s">
        <v>6</v>
      </c>
      <c r="C39" s="388">
        <v>203852000</v>
      </c>
      <c r="D39" s="389">
        <f>+C39+10000000-4844000+1732000</f>
        <v>210740000</v>
      </c>
      <c r="E39" s="388">
        <f>+D39</f>
        <v>210740000</v>
      </c>
      <c r="F39" s="388"/>
      <c r="G39" s="388">
        <v>0</v>
      </c>
      <c r="H39" s="388">
        <v>0</v>
      </c>
      <c r="I39" s="388">
        <v>0</v>
      </c>
      <c r="J39" s="388">
        <v>0</v>
      </c>
      <c r="K39" s="388">
        <v>0</v>
      </c>
      <c r="L39" s="388">
        <v>0</v>
      </c>
      <c r="M39" s="390">
        <f t="shared" ref="M39:M63" si="7">C39+G39+K39</f>
        <v>203852000</v>
      </c>
      <c r="N39" s="391">
        <f t="shared" ref="N39:N63" si="8">D39+H39+L39</f>
        <v>210740000</v>
      </c>
      <c r="O39" s="391">
        <f t="shared" ref="O39:O63" si="9">E39+I39+L39</f>
        <v>210740000</v>
      </c>
    </row>
    <row r="40" spans="1:15" x14ac:dyDescent="0.25">
      <c r="A40" s="425" t="s">
        <v>54</v>
      </c>
      <c r="B40" s="349" t="s">
        <v>94</v>
      </c>
      <c r="C40" s="388">
        <v>31977000</v>
      </c>
      <c r="D40" s="389">
        <f>+C40+1550000-751000+268000</f>
        <v>33044000</v>
      </c>
      <c r="E40" s="388">
        <f>+D40</f>
        <v>33044000</v>
      </c>
      <c r="F40" s="388"/>
      <c r="G40" s="427">
        <v>0</v>
      </c>
      <c r="H40" s="427">
        <v>0</v>
      </c>
      <c r="I40" s="427">
        <v>0</v>
      </c>
      <c r="J40" s="427">
        <v>0</v>
      </c>
      <c r="K40" s="388">
        <v>0</v>
      </c>
      <c r="L40" s="388">
        <v>0</v>
      </c>
      <c r="M40" s="390">
        <f t="shared" si="7"/>
        <v>31977000</v>
      </c>
      <c r="N40" s="391">
        <f t="shared" si="8"/>
        <v>33044000</v>
      </c>
      <c r="O40" s="391">
        <f t="shared" si="9"/>
        <v>33044000</v>
      </c>
    </row>
    <row r="41" spans="1:15" x14ac:dyDescent="0.25">
      <c r="A41" s="425" t="s">
        <v>55</v>
      </c>
      <c r="B41" s="349" t="s">
        <v>95</v>
      </c>
      <c r="C41" s="388">
        <v>33821000</v>
      </c>
      <c r="D41" s="389">
        <v>47000000</v>
      </c>
      <c r="E41" s="388">
        <f>+D41-500000</f>
        <v>46500000</v>
      </c>
      <c r="F41" s="388"/>
      <c r="G41" s="388">
        <v>0</v>
      </c>
      <c r="H41" s="388">
        <v>0</v>
      </c>
      <c r="I41" s="388">
        <v>0</v>
      </c>
      <c r="J41" s="388">
        <v>0</v>
      </c>
      <c r="K41" s="388">
        <v>0</v>
      </c>
      <c r="L41" s="388">
        <v>0</v>
      </c>
      <c r="M41" s="390">
        <f t="shared" si="7"/>
        <v>33821000</v>
      </c>
      <c r="N41" s="391">
        <f t="shared" si="8"/>
        <v>47000000</v>
      </c>
      <c r="O41" s="391">
        <f t="shared" si="9"/>
        <v>46500000</v>
      </c>
    </row>
    <row r="42" spans="1:15" x14ac:dyDescent="0.25">
      <c r="A42" s="425" t="s">
        <v>56</v>
      </c>
      <c r="B42" s="349" t="s">
        <v>96</v>
      </c>
      <c r="C42" s="388">
        <v>0</v>
      </c>
      <c r="D42" s="389">
        <v>0</v>
      </c>
      <c r="E42" s="388">
        <v>0</v>
      </c>
      <c r="F42" s="388"/>
      <c r="G42" s="388">
        <v>0</v>
      </c>
      <c r="H42" s="388">
        <v>0</v>
      </c>
      <c r="I42" s="388">
        <v>0</v>
      </c>
      <c r="J42" s="388">
        <v>0</v>
      </c>
      <c r="K42" s="388">
        <v>0</v>
      </c>
      <c r="L42" s="388">
        <v>0</v>
      </c>
      <c r="M42" s="390">
        <f t="shared" si="7"/>
        <v>0</v>
      </c>
      <c r="N42" s="391">
        <f t="shared" si="8"/>
        <v>0</v>
      </c>
      <c r="O42" s="391">
        <f t="shared" si="9"/>
        <v>0</v>
      </c>
    </row>
    <row r="43" spans="1:15" x14ac:dyDescent="0.25">
      <c r="A43" s="429" t="s">
        <v>57</v>
      </c>
      <c r="B43" s="350" t="s">
        <v>97</v>
      </c>
      <c r="C43" s="388">
        <v>0</v>
      </c>
      <c r="D43" s="388">
        <v>0</v>
      </c>
      <c r="E43" s="388">
        <v>0</v>
      </c>
      <c r="F43" s="374"/>
      <c r="G43" s="388">
        <v>0</v>
      </c>
      <c r="H43" s="388">
        <v>0</v>
      </c>
      <c r="I43" s="388">
        <v>0</v>
      </c>
      <c r="J43" s="388">
        <v>0</v>
      </c>
      <c r="K43" s="388">
        <v>0</v>
      </c>
      <c r="L43" s="388">
        <v>0</v>
      </c>
      <c r="M43" s="390">
        <f t="shared" si="7"/>
        <v>0</v>
      </c>
      <c r="N43" s="391">
        <f t="shared" si="8"/>
        <v>0</v>
      </c>
      <c r="O43" s="391">
        <f t="shared" si="9"/>
        <v>0</v>
      </c>
    </row>
    <row r="44" spans="1:15" x14ac:dyDescent="0.25">
      <c r="A44" s="430" t="s">
        <v>91</v>
      </c>
      <c r="B44" s="349" t="s">
        <v>330</v>
      </c>
      <c r="C44" s="388"/>
      <c r="D44" s="372"/>
      <c r="E44" s="374"/>
      <c r="F44" s="374"/>
      <c r="G44" s="388"/>
      <c r="H44" s="388"/>
      <c r="I44" s="388"/>
      <c r="J44" s="388"/>
      <c r="K44" s="388"/>
      <c r="L44" s="388"/>
      <c r="M44" s="390">
        <f t="shared" si="7"/>
        <v>0</v>
      </c>
      <c r="N44" s="391">
        <f t="shared" si="8"/>
        <v>0</v>
      </c>
      <c r="O44" s="391">
        <f t="shared" si="9"/>
        <v>0</v>
      </c>
    </row>
    <row r="45" spans="1:15" x14ac:dyDescent="0.25">
      <c r="A45" s="431" t="s">
        <v>92</v>
      </c>
      <c r="B45" s="350" t="s">
        <v>421</v>
      </c>
      <c r="C45" s="388"/>
      <c r="D45" s="372"/>
      <c r="E45" s="374"/>
      <c r="F45" s="374"/>
      <c r="G45" s="388"/>
      <c r="H45" s="388"/>
      <c r="I45" s="388"/>
      <c r="J45" s="388"/>
      <c r="K45" s="388"/>
      <c r="L45" s="388"/>
      <c r="M45" s="390">
        <f t="shared" si="7"/>
        <v>0</v>
      </c>
      <c r="N45" s="391">
        <f t="shared" si="8"/>
        <v>0</v>
      </c>
      <c r="O45" s="391">
        <f t="shared" si="9"/>
        <v>0</v>
      </c>
    </row>
    <row r="46" spans="1:15" x14ac:dyDescent="0.25">
      <c r="A46" s="430" t="s">
        <v>329</v>
      </c>
      <c r="B46" s="432" t="s">
        <v>98</v>
      </c>
      <c r="C46" s="388"/>
      <c r="D46" s="372"/>
      <c r="E46" s="374"/>
      <c r="F46" s="374"/>
      <c r="G46" s="388"/>
      <c r="H46" s="388"/>
      <c r="I46" s="388"/>
      <c r="J46" s="388"/>
      <c r="K46" s="388"/>
      <c r="L46" s="388"/>
      <c r="M46" s="390">
        <f t="shared" si="7"/>
        <v>0</v>
      </c>
      <c r="N46" s="391">
        <f t="shared" si="8"/>
        <v>0</v>
      </c>
      <c r="O46" s="391">
        <f t="shared" si="9"/>
        <v>0</v>
      </c>
    </row>
    <row r="47" spans="1:15" x14ac:dyDescent="0.25">
      <c r="A47" s="430" t="s">
        <v>420</v>
      </c>
      <c r="B47" s="432" t="s">
        <v>99</v>
      </c>
      <c r="C47" s="388"/>
      <c r="D47" s="372"/>
      <c r="E47" s="374"/>
      <c r="F47" s="374"/>
      <c r="G47" s="388"/>
      <c r="H47" s="388"/>
      <c r="I47" s="388"/>
      <c r="J47" s="388"/>
      <c r="K47" s="388"/>
      <c r="L47" s="388"/>
      <c r="M47" s="390">
        <f t="shared" si="7"/>
        <v>0</v>
      </c>
      <c r="N47" s="391">
        <f t="shared" si="8"/>
        <v>0</v>
      </c>
      <c r="O47" s="391">
        <f t="shared" si="9"/>
        <v>0</v>
      </c>
    </row>
    <row r="48" spans="1:15" x14ac:dyDescent="0.25">
      <c r="A48" s="431" t="s">
        <v>93</v>
      </c>
      <c r="B48" s="350" t="s">
        <v>8</v>
      </c>
      <c r="C48" s="388">
        <v>0</v>
      </c>
      <c r="D48" s="389">
        <v>0</v>
      </c>
      <c r="E48" s="388">
        <v>0</v>
      </c>
      <c r="F48" s="388"/>
      <c r="G48" s="388">
        <v>0</v>
      </c>
      <c r="H48" s="388">
        <v>0</v>
      </c>
      <c r="I48" s="388">
        <v>0</v>
      </c>
      <c r="J48" s="388">
        <v>0</v>
      </c>
      <c r="K48" s="388">
        <v>0</v>
      </c>
      <c r="L48" s="388">
        <v>0</v>
      </c>
      <c r="M48" s="390">
        <f t="shared" si="7"/>
        <v>0</v>
      </c>
      <c r="N48" s="391">
        <f t="shared" si="8"/>
        <v>0</v>
      </c>
      <c r="O48" s="391">
        <f t="shared" si="9"/>
        <v>0</v>
      </c>
    </row>
    <row r="49" spans="1:15" x14ac:dyDescent="0.25">
      <c r="A49" s="430"/>
      <c r="B49" s="349" t="s">
        <v>250</v>
      </c>
      <c r="C49" s="388"/>
      <c r="D49" s="389"/>
      <c r="E49" s="388"/>
      <c r="F49" s="388"/>
      <c r="G49" s="388"/>
      <c r="H49" s="388"/>
      <c r="I49" s="388"/>
      <c r="J49" s="388"/>
      <c r="K49" s="388"/>
      <c r="L49" s="388"/>
      <c r="M49" s="390">
        <f t="shared" si="7"/>
        <v>0</v>
      </c>
      <c r="N49" s="391">
        <f t="shared" si="8"/>
        <v>0</v>
      </c>
      <c r="O49" s="391">
        <f t="shared" si="9"/>
        <v>0</v>
      </c>
    </row>
    <row r="50" spans="1:15" x14ac:dyDescent="0.25">
      <c r="A50" s="431" t="s">
        <v>12</v>
      </c>
      <c r="B50" s="350" t="s">
        <v>100</v>
      </c>
      <c r="C50" s="389">
        <f>C51+C52+C53</f>
        <v>639000</v>
      </c>
      <c r="D50" s="389">
        <f>D51+D52+D53</f>
        <v>1900000</v>
      </c>
      <c r="E50" s="389">
        <f>E51+E52+E53</f>
        <v>3120605</v>
      </c>
      <c r="F50" s="389"/>
      <c r="G50" s="389">
        <f t="shared" ref="G50:L50" si="10">G51+G52+G53</f>
        <v>0</v>
      </c>
      <c r="H50" s="389">
        <f t="shared" si="10"/>
        <v>0</v>
      </c>
      <c r="I50" s="389">
        <f t="shared" si="10"/>
        <v>0</v>
      </c>
      <c r="J50" s="389">
        <f t="shared" si="10"/>
        <v>0</v>
      </c>
      <c r="K50" s="389">
        <f t="shared" si="10"/>
        <v>0</v>
      </c>
      <c r="L50" s="389">
        <f t="shared" si="10"/>
        <v>0</v>
      </c>
      <c r="M50" s="390">
        <f t="shared" si="7"/>
        <v>639000</v>
      </c>
      <c r="N50" s="391">
        <f t="shared" si="8"/>
        <v>1900000</v>
      </c>
      <c r="O50" s="391">
        <f t="shared" si="9"/>
        <v>3120605</v>
      </c>
    </row>
    <row r="51" spans="1:15" x14ac:dyDescent="0.25">
      <c r="A51" s="430" t="s">
        <v>49</v>
      </c>
      <c r="B51" s="349" t="s">
        <v>9</v>
      </c>
      <c r="C51" s="389">
        <v>639000</v>
      </c>
      <c r="D51" s="389">
        <v>1900000</v>
      </c>
      <c r="E51" s="389">
        <f>+D51+720605+500000</f>
        <v>3120605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0">
        <f t="shared" si="7"/>
        <v>639000</v>
      </c>
      <c r="N51" s="391">
        <f t="shared" si="8"/>
        <v>1900000</v>
      </c>
      <c r="O51" s="391">
        <f t="shared" si="9"/>
        <v>3120605</v>
      </c>
    </row>
    <row r="52" spans="1:15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v>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0">
        <f t="shared" si="7"/>
        <v>0</v>
      </c>
      <c r="N52" s="391">
        <f t="shared" si="8"/>
        <v>0</v>
      </c>
      <c r="O52" s="391">
        <f t="shared" si="9"/>
        <v>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0">
        <f t="shared" si="7"/>
        <v>0</v>
      </c>
      <c r="N53" s="391">
        <f t="shared" si="8"/>
        <v>0</v>
      </c>
      <c r="O53" s="391">
        <f t="shared" si="9"/>
        <v>0</v>
      </c>
    </row>
    <row r="54" spans="1:15" x14ac:dyDescent="0.25">
      <c r="A54" s="433" t="s">
        <v>13</v>
      </c>
      <c r="B54" s="351" t="s">
        <v>102</v>
      </c>
      <c r="C54" s="389">
        <f>C38+C50</f>
        <v>270289000</v>
      </c>
      <c r="D54" s="389">
        <f>D38+D50</f>
        <v>292684000</v>
      </c>
      <c r="E54" s="389">
        <f>E38+E50</f>
        <v>293404605</v>
      </c>
      <c r="F54" s="389"/>
      <c r="G54" s="389">
        <f t="shared" ref="G54:L54" si="11">G38+G50</f>
        <v>0</v>
      </c>
      <c r="H54" s="389">
        <f t="shared" si="11"/>
        <v>0</v>
      </c>
      <c r="I54" s="389">
        <f t="shared" si="11"/>
        <v>0</v>
      </c>
      <c r="J54" s="389">
        <f t="shared" si="11"/>
        <v>0</v>
      </c>
      <c r="K54" s="389">
        <f t="shared" si="11"/>
        <v>0</v>
      </c>
      <c r="L54" s="389">
        <f t="shared" si="11"/>
        <v>0</v>
      </c>
      <c r="M54" s="390">
        <f t="shared" si="7"/>
        <v>270289000</v>
      </c>
      <c r="N54" s="391">
        <f t="shared" si="8"/>
        <v>292684000</v>
      </c>
      <c r="O54" s="391">
        <f t="shared" si="9"/>
        <v>293404605</v>
      </c>
    </row>
    <row r="55" spans="1:15" ht="22.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0">
        <f t="shared" si="7"/>
        <v>0</v>
      </c>
      <c r="N55" s="391">
        <f t="shared" si="8"/>
        <v>0</v>
      </c>
      <c r="O55" s="391">
        <f t="shared" si="9"/>
        <v>0</v>
      </c>
    </row>
    <row r="56" spans="1:15" ht="22.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0">
        <f t="shared" si="7"/>
        <v>0</v>
      </c>
      <c r="N56" s="391">
        <f t="shared" si="8"/>
        <v>0</v>
      </c>
      <c r="O56" s="391">
        <f t="shared" si="9"/>
        <v>0</v>
      </c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0">
        <f t="shared" si="7"/>
        <v>0</v>
      </c>
      <c r="N57" s="391">
        <f t="shared" si="8"/>
        <v>0</v>
      </c>
      <c r="O57" s="391">
        <f t="shared" si="9"/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0">
        <f t="shared" si="7"/>
        <v>0</v>
      </c>
      <c r="N58" s="391">
        <f t="shared" si="8"/>
        <v>0</v>
      </c>
      <c r="O58" s="391">
        <f t="shared" si="9"/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0">
        <f t="shared" si="7"/>
        <v>0</v>
      </c>
      <c r="N59" s="391">
        <f t="shared" si="8"/>
        <v>0</v>
      </c>
      <c r="O59" s="391">
        <f t="shared" si="9"/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0">
        <f t="shared" si="7"/>
        <v>0</v>
      </c>
      <c r="N60" s="391">
        <f t="shared" si="8"/>
        <v>0</v>
      </c>
      <c r="O60" s="391">
        <f t="shared" si="9"/>
        <v>0</v>
      </c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0">
        <f t="shared" si="7"/>
        <v>0</v>
      </c>
      <c r="N61" s="391">
        <f t="shared" si="8"/>
        <v>0</v>
      </c>
      <c r="O61" s="391">
        <f t="shared" si="9"/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12">G55+G57+G58+G61</f>
        <v>0</v>
      </c>
      <c r="H62" s="389">
        <f t="shared" si="12"/>
        <v>0</v>
      </c>
      <c r="I62" s="389">
        <f t="shared" si="12"/>
        <v>0</v>
      </c>
      <c r="J62" s="389">
        <f t="shared" si="12"/>
        <v>0</v>
      </c>
      <c r="K62" s="389">
        <f t="shared" si="12"/>
        <v>0</v>
      </c>
      <c r="L62" s="389">
        <f t="shared" si="12"/>
        <v>0</v>
      </c>
      <c r="M62" s="390">
        <f t="shared" si="7"/>
        <v>0</v>
      </c>
      <c r="N62" s="391">
        <f t="shared" si="8"/>
        <v>0</v>
      </c>
      <c r="O62" s="391">
        <f t="shared" si="9"/>
        <v>0</v>
      </c>
    </row>
    <row r="63" spans="1:15" ht="21" x14ac:dyDescent="0.25">
      <c r="A63" s="613" t="s">
        <v>20</v>
      </c>
      <c r="B63" s="614" t="s">
        <v>107</v>
      </c>
      <c r="C63" s="389">
        <f>C54+C62</f>
        <v>270289000</v>
      </c>
      <c r="D63" s="389">
        <f>D54+D62</f>
        <v>292684000</v>
      </c>
      <c r="E63" s="389">
        <f>E54+E62</f>
        <v>293404605</v>
      </c>
      <c r="F63" s="389"/>
      <c r="G63" s="389">
        <f t="shared" ref="G63:L63" si="13">G54+G62</f>
        <v>0</v>
      </c>
      <c r="H63" s="389">
        <f t="shared" si="13"/>
        <v>0</v>
      </c>
      <c r="I63" s="389">
        <f t="shared" si="13"/>
        <v>0</v>
      </c>
      <c r="J63" s="389">
        <f t="shared" si="13"/>
        <v>0</v>
      </c>
      <c r="K63" s="389">
        <f t="shared" si="13"/>
        <v>0</v>
      </c>
      <c r="L63" s="389">
        <f t="shared" si="13"/>
        <v>0</v>
      </c>
      <c r="M63" s="390">
        <f t="shared" si="7"/>
        <v>270289000</v>
      </c>
      <c r="N63" s="391">
        <f t="shared" si="8"/>
        <v>292684000</v>
      </c>
      <c r="O63" s="391">
        <f t="shared" si="9"/>
        <v>293404605</v>
      </c>
    </row>
    <row r="64" spans="1:15" x14ac:dyDescent="0.25">
      <c r="A64" s="436"/>
      <c r="B64" s="436"/>
      <c r="C64" s="436">
        <f t="shared" ref="C64:O64" si="14">+C63-C34</f>
        <v>0</v>
      </c>
      <c r="D64" s="436">
        <f t="shared" si="14"/>
        <v>0</v>
      </c>
      <c r="E64" s="436">
        <f t="shared" si="14"/>
        <v>0</v>
      </c>
      <c r="F64" s="436">
        <f t="shared" si="14"/>
        <v>0</v>
      </c>
      <c r="G64" s="436">
        <f t="shared" si="14"/>
        <v>0</v>
      </c>
      <c r="H64" s="436">
        <f t="shared" si="14"/>
        <v>0</v>
      </c>
      <c r="I64" s="436">
        <f t="shared" si="14"/>
        <v>0</v>
      </c>
      <c r="J64" s="436">
        <f t="shared" si="14"/>
        <v>0</v>
      </c>
      <c r="K64" s="436">
        <f t="shared" si="14"/>
        <v>0</v>
      </c>
      <c r="L64" s="436">
        <f t="shared" si="14"/>
        <v>0</v>
      </c>
      <c r="M64" s="436">
        <f t="shared" si="14"/>
        <v>0</v>
      </c>
      <c r="N64" s="436">
        <f t="shared" si="14"/>
        <v>0</v>
      </c>
      <c r="O64" s="436">
        <f t="shared" si="14"/>
        <v>0</v>
      </c>
    </row>
    <row r="65" spans="1:15" x14ac:dyDescent="0.25">
      <c r="A65" s="435"/>
      <c r="B65" s="440"/>
      <c r="C65" s="394"/>
      <c r="D65" s="394"/>
      <c r="E65" s="394">
        <f>+E63-E34</f>
        <v>0</v>
      </c>
      <c r="F65" s="394"/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3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3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3">
    <mergeCell ref="K36:M36"/>
    <mergeCell ref="L1:O1"/>
    <mergeCell ref="A2:O2"/>
  </mergeCells>
  <printOptions horizontalCentered="1"/>
  <pageMargins left="0.23" right="0.21" top="0.36" bottom="0.31" header="0.31496062992125984" footer="0.17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</sheetPr>
  <dimension ref="A1:R49"/>
  <sheetViews>
    <sheetView view="pageBreakPreview" zoomScale="85" zoomScaleNormal="100" zoomScaleSheetLayoutView="85" workbookViewId="0">
      <selection activeCell="F8" sqref="F8:F12"/>
    </sheetView>
  </sheetViews>
  <sheetFormatPr defaultColWidth="8.85546875" defaultRowHeight="12.75" x14ac:dyDescent="0.2"/>
  <cols>
    <col min="1" max="1" width="8.85546875" style="508"/>
    <col min="2" max="2" width="7.5703125" style="508" bestFit="1" customWidth="1"/>
    <col min="3" max="3" width="36.28515625" style="508" bestFit="1" customWidth="1"/>
    <col min="4" max="4" width="10.85546875" style="508" bestFit="1" customWidth="1"/>
    <col min="5" max="6" width="13.5703125" style="508" customWidth="1"/>
    <col min="7" max="7" width="25.42578125" style="508" customWidth="1"/>
    <col min="8" max="8" width="9.28515625" style="785" customWidth="1"/>
    <col min="9" max="9" width="11.5703125" style="508" customWidth="1"/>
    <col min="10" max="10" width="14.42578125" style="508" bestFit="1" customWidth="1"/>
    <col min="11" max="11" width="30.5703125" style="508" customWidth="1"/>
    <col min="12" max="12" width="11.7109375" style="784" customWidth="1"/>
    <col min="13" max="13" width="10.5703125" style="508" customWidth="1"/>
    <col min="14" max="14" width="8.85546875" style="508"/>
    <col min="15" max="15" width="24.42578125" style="508" customWidth="1"/>
    <col min="16" max="16" width="9.5703125" style="784" bestFit="1" customWidth="1"/>
    <col min="17" max="17" width="15.5703125" style="784" customWidth="1"/>
    <col min="18" max="18" width="17.42578125" style="508" customWidth="1"/>
    <col min="19" max="20" width="14.42578125" style="508" bestFit="1" customWidth="1"/>
    <col min="21" max="23" width="11.7109375" style="508" bestFit="1" customWidth="1"/>
    <col min="24" max="24" width="14.42578125" style="508" bestFit="1" customWidth="1"/>
    <col min="25" max="16384" width="8.85546875" style="508"/>
  </cols>
  <sheetData>
    <row r="1" spans="1:17" ht="42.75" customHeight="1" x14ac:dyDescent="0.2">
      <c r="D1" s="505"/>
      <c r="E1" s="505"/>
      <c r="F1" s="1108" t="s">
        <v>655</v>
      </c>
      <c r="G1" s="1108"/>
      <c r="L1" s="802"/>
      <c r="M1" s="510"/>
    </row>
    <row r="2" spans="1:17" x14ac:dyDescent="0.2">
      <c r="A2" s="511"/>
      <c r="C2" s="505"/>
      <c r="D2" s="505"/>
      <c r="E2" s="505"/>
      <c r="F2" s="505"/>
      <c r="G2" s="509"/>
      <c r="J2" s="510"/>
      <c r="K2" s="510"/>
      <c r="L2" s="802"/>
      <c r="M2" s="510"/>
    </row>
    <row r="3" spans="1:17" ht="25.5" customHeight="1" x14ac:dyDescent="0.2">
      <c r="B3" s="1107" t="s">
        <v>648</v>
      </c>
      <c r="C3" s="1107"/>
      <c r="D3" s="1107"/>
      <c r="E3" s="1107"/>
      <c r="F3" s="1107"/>
      <c r="G3" s="1107"/>
      <c r="L3" s="802"/>
      <c r="M3" s="510"/>
    </row>
    <row r="4" spans="1:17" x14ac:dyDescent="0.2">
      <c r="D4" s="525"/>
      <c r="E4" s="512"/>
      <c r="F4" s="512"/>
      <c r="G4" s="512" t="s">
        <v>339</v>
      </c>
    </row>
    <row r="5" spans="1:17" ht="38.25" x14ac:dyDescent="0.2">
      <c r="B5" s="534" t="s">
        <v>647</v>
      </c>
      <c r="C5" s="533" t="s">
        <v>40</v>
      </c>
      <c r="D5" s="534" t="s">
        <v>475</v>
      </c>
      <c r="E5" s="534" t="s">
        <v>639</v>
      </c>
      <c r="F5" s="534" t="s">
        <v>640</v>
      </c>
      <c r="G5" s="607" t="s">
        <v>42</v>
      </c>
      <c r="P5" s="508"/>
      <c r="Q5" s="508"/>
    </row>
    <row r="6" spans="1:17" x14ac:dyDescent="0.2">
      <c r="B6" s="513" t="s">
        <v>11</v>
      </c>
      <c r="C6" s="506" t="s">
        <v>45</v>
      </c>
      <c r="D6" s="514">
        <v>0</v>
      </c>
      <c r="E6" s="514"/>
      <c r="F6" s="514"/>
      <c r="G6" s="535"/>
      <c r="J6" s="508" t="s">
        <v>615</v>
      </c>
      <c r="K6" s="508" t="s">
        <v>616</v>
      </c>
      <c r="L6" s="784">
        <v>14941319</v>
      </c>
      <c r="P6" s="508"/>
      <c r="Q6" s="508"/>
    </row>
    <row r="7" spans="1:17" x14ac:dyDescent="0.2">
      <c r="B7" s="515"/>
      <c r="C7" s="536"/>
      <c r="D7" s="514"/>
      <c r="E7" s="514"/>
      <c r="F7" s="514"/>
      <c r="G7" s="535"/>
      <c r="J7" s="508" t="s">
        <v>617</v>
      </c>
      <c r="K7" s="508" t="s">
        <v>618</v>
      </c>
      <c r="L7" s="784">
        <v>7755255</v>
      </c>
      <c r="P7" s="508"/>
      <c r="Q7" s="508"/>
    </row>
    <row r="8" spans="1:17" x14ac:dyDescent="0.2">
      <c r="B8" s="513" t="s">
        <v>12</v>
      </c>
      <c r="C8" s="516" t="s">
        <v>191</v>
      </c>
      <c r="D8" s="514">
        <v>5000000</v>
      </c>
      <c r="E8" s="537">
        <f>+D8</f>
        <v>5000000</v>
      </c>
      <c r="F8" s="537">
        <f>+E8-3809365</f>
        <v>1190635</v>
      </c>
      <c r="G8" s="535" t="s">
        <v>681</v>
      </c>
      <c r="J8" s="508" t="s">
        <v>619</v>
      </c>
      <c r="K8" s="508" t="s">
        <v>620</v>
      </c>
      <c r="L8" s="784">
        <v>17801235</v>
      </c>
      <c r="P8" s="508"/>
      <c r="Q8" s="508"/>
    </row>
    <row r="9" spans="1:17" x14ac:dyDescent="0.2">
      <c r="B9" s="535"/>
      <c r="C9" s="535"/>
      <c r="D9" s="535"/>
      <c r="E9" s="535"/>
      <c r="F9" s="535"/>
      <c r="G9" s="535"/>
      <c r="J9" s="508" t="s">
        <v>621</v>
      </c>
      <c r="K9" s="508" t="s">
        <v>622</v>
      </c>
      <c r="L9" s="784">
        <v>3176579</v>
      </c>
      <c r="P9" s="508"/>
      <c r="Q9" s="508"/>
    </row>
    <row r="10" spans="1:17" x14ac:dyDescent="0.2">
      <c r="B10" s="513" t="s">
        <v>13</v>
      </c>
      <c r="C10" s="516" t="s">
        <v>190</v>
      </c>
      <c r="D10" s="514">
        <v>7000000</v>
      </c>
      <c r="E10" s="537">
        <f>+D10</f>
        <v>7000000</v>
      </c>
      <c r="F10" s="537">
        <v>7000000</v>
      </c>
      <c r="G10" s="535"/>
      <c r="J10" s="508" t="s">
        <v>623</v>
      </c>
      <c r="K10" s="508" t="s">
        <v>624</v>
      </c>
      <c r="L10" s="784">
        <v>3175000</v>
      </c>
      <c r="P10" s="508"/>
      <c r="Q10" s="508"/>
    </row>
    <row r="11" spans="1:17" x14ac:dyDescent="0.2">
      <c r="B11" s="535"/>
      <c r="C11" s="535"/>
      <c r="D11" s="535"/>
      <c r="E11" s="535"/>
      <c r="F11" s="535"/>
      <c r="G11" s="535"/>
      <c r="H11" s="804"/>
      <c r="I11" s="526"/>
      <c r="J11" s="508" t="s">
        <v>625</v>
      </c>
      <c r="K11" s="508" t="s">
        <v>613</v>
      </c>
      <c r="L11" s="784">
        <v>1163963</v>
      </c>
      <c r="P11" s="508"/>
      <c r="Q11" s="508"/>
    </row>
    <row r="12" spans="1:17" x14ac:dyDescent="0.2">
      <c r="B12" s="513" t="s">
        <v>14</v>
      </c>
      <c r="C12" s="516" t="s">
        <v>46</v>
      </c>
      <c r="D12" s="781">
        <v>15000000</v>
      </c>
      <c r="E12" s="514">
        <f>+D12</f>
        <v>15000000</v>
      </c>
      <c r="F12" s="514">
        <f>+E12-2992649-2200000-9000000</f>
        <v>807351</v>
      </c>
      <c r="G12" s="789"/>
      <c r="H12" s="805"/>
      <c r="I12" s="526"/>
      <c r="J12" s="508" t="s">
        <v>626</v>
      </c>
      <c r="K12" s="847" t="s">
        <v>627</v>
      </c>
      <c r="L12" s="848">
        <v>29594461</v>
      </c>
      <c r="M12" s="784">
        <f>+L12+L13</f>
        <v>56138298</v>
      </c>
      <c r="P12" s="508"/>
      <c r="Q12" s="508"/>
    </row>
    <row r="13" spans="1:17" x14ac:dyDescent="0.2">
      <c r="B13" s="538"/>
      <c r="C13" s="538"/>
      <c r="D13" s="538"/>
      <c r="E13" s="538"/>
      <c r="F13" s="538"/>
      <c r="G13" s="790"/>
      <c r="H13" s="804"/>
      <c r="I13" s="526"/>
      <c r="J13" s="508" t="s">
        <v>628</v>
      </c>
      <c r="K13" s="847" t="s">
        <v>629</v>
      </c>
      <c r="L13" s="848">
        <v>26543837</v>
      </c>
      <c r="P13" s="508"/>
      <c r="Q13" s="508"/>
    </row>
    <row r="14" spans="1:17" x14ac:dyDescent="0.2">
      <c r="B14" s="513" t="s">
        <v>15</v>
      </c>
      <c r="C14" s="516" t="s">
        <v>195</v>
      </c>
      <c r="D14" s="507">
        <f>SUM(D15:D22)</f>
        <v>109596000</v>
      </c>
      <c r="E14" s="507">
        <f>SUM(E15:E22)</f>
        <v>68171000</v>
      </c>
      <c r="F14" s="507">
        <f>SUM(F15:F22)</f>
        <v>9000000</v>
      </c>
      <c r="G14" s="535"/>
      <c r="H14" s="804"/>
      <c r="I14" s="526"/>
      <c r="J14" s="508" t="s">
        <v>630</v>
      </c>
      <c r="K14" s="508" t="s">
        <v>631</v>
      </c>
      <c r="L14" s="784">
        <v>2500000</v>
      </c>
      <c r="P14" s="508"/>
      <c r="Q14" s="508"/>
    </row>
    <row r="15" spans="1:17" x14ac:dyDescent="0.2">
      <c r="B15" s="517"/>
      <c r="C15" s="518" t="s">
        <v>274</v>
      </c>
      <c r="D15" s="519">
        <v>40000000</v>
      </c>
      <c r="E15" s="520">
        <f>+D15-37585000</f>
        <v>2415000</v>
      </c>
      <c r="F15" s="520">
        <v>0</v>
      </c>
      <c r="G15" s="790"/>
      <c r="H15" s="806"/>
      <c r="I15" s="526"/>
      <c r="J15" s="508" t="s">
        <v>632</v>
      </c>
      <c r="K15" s="508" t="s">
        <v>633</v>
      </c>
      <c r="L15" s="784">
        <v>2000000</v>
      </c>
      <c r="P15" s="508"/>
      <c r="Q15" s="508"/>
    </row>
    <row r="16" spans="1:17" x14ac:dyDescent="0.2">
      <c r="B16" s="517"/>
      <c r="C16" s="518" t="s">
        <v>268</v>
      </c>
      <c r="D16" s="519">
        <v>44596000</v>
      </c>
      <c r="E16" s="520">
        <f>+D16-1640000</f>
        <v>42956000</v>
      </c>
      <c r="F16" s="520">
        <v>0</v>
      </c>
      <c r="G16" s="790"/>
      <c r="H16" s="806"/>
      <c r="I16" s="786"/>
      <c r="J16" s="508" t="s">
        <v>634</v>
      </c>
      <c r="K16" s="508" t="s">
        <v>635</v>
      </c>
      <c r="L16" s="784">
        <v>3937000</v>
      </c>
      <c r="P16" s="508"/>
      <c r="Q16" s="508"/>
    </row>
    <row r="17" spans="2:18" x14ac:dyDescent="0.2">
      <c r="B17" s="517"/>
      <c r="C17" s="518" t="s">
        <v>516</v>
      </c>
      <c r="D17" s="519">
        <v>4000000</v>
      </c>
      <c r="E17" s="810">
        <v>3800000</v>
      </c>
      <c r="F17" s="520">
        <v>0</v>
      </c>
      <c r="G17" s="522"/>
      <c r="H17" s="807"/>
      <c r="I17" s="526"/>
      <c r="K17" s="792" t="s">
        <v>641</v>
      </c>
      <c r="L17" s="784">
        <v>200000</v>
      </c>
      <c r="M17" s="784">
        <f>+L17+L18</f>
        <v>2200000</v>
      </c>
      <c r="O17" s="792"/>
      <c r="P17" s="793"/>
      <c r="Q17" s="793"/>
    </row>
    <row r="18" spans="2:18" x14ac:dyDescent="0.2">
      <c r="B18" s="522"/>
      <c r="C18" s="518" t="s">
        <v>269</v>
      </c>
      <c r="D18" s="519">
        <v>2000000</v>
      </c>
      <c r="E18" s="812">
        <f>+D18</f>
        <v>2000000</v>
      </c>
      <c r="F18" s="520">
        <v>0</v>
      </c>
      <c r="G18" s="790"/>
      <c r="H18" s="804"/>
      <c r="I18" s="526"/>
      <c r="K18" s="811" t="s">
        <v>601</v>
      </c>
      <c r="L18" s="784">
        <v>2000000</v>
      </c>
    </row>
    <row r="19" spans="2:18" x14ac:dyDescent="0.2">
      <c r="B19" s="521"/>
      <c r="C19" s="518" t="s">
        <v>276</v>
      </c>
      <c r="D19" s="519">
        <v>2000000</v>
      </c>
      <c r="E19" s="520">
        <v>0</v>
      </c>
      <c r="F19" s="520">
        <v>0</v>
      </c>
      <c r="G19" s="522"/>
      <c r="I19" s="526"/>
      <c r="J19" s="526"/>
      <c r="L19" s="803">
        <f>SUM(L6:L18)</f>
        <v>114788649</v>
      </c>
      <c r="M19" s="784">
        <f>+L19-L18-L17-M12</f>
        <v>56450351</v>
      </c>
    </row>
    <row r="20" spans="2:18" x14ac:dyDescent="0.2">
      <c r="B20" s="538"/>
      <c r="C20" s="539" t="s">
        <v>192</v>
      </c>
      <c r="D20" s="519">
        <v>3000000</v>
      </c>
      <c r="E20" s="520">
        <f>+D20</f>
        <v>3000000</v>
      </c>
      <c r="F20" s="520">
        <v>0</v>
      </c>
      <c r="G20" s="790"/>
      <c r="H20" s="804"/>
      <c r="I20" s="526"/>
      <c r="J20" s="526"/>
      <c r="L20" s="784">
        <f>+D25-L19</f>
        <v>21807351</v>
      </c>
      <c r="M20" s="784">
        <f>+D25-E25</f>
        <v>41425000</v>
      </c>
    </row>
    <row r="21" spans="2:18" x14ac:dyDescent="0.2">
      <c r="B21" s="538"/>
      <c r="C21" s="539" t="s">
        <v>193</v>
      </c>
      <c r="D21" s="783">
        <v>5000000</v>
      </c>
      <c r="E21" s="677">
        <f>+D21</f>
        <v>5000000</v>
      </c>
      <c r="F21" s="677">
        <v>0</v>
      </c>
      <c r="G21" s="790"/>
      <c r="H21" s="804"/>
      <c r="I21" s="526"/>
      <c r="J21" s="526"/>
      <c r="L21" s="784">
        <f>+F25-L20</f>
        <v>-3809365</v>
      </c>
      <c r="M21" s="784">
        <f>+M19-M20</f>
        <v>15025351</v>
      </c>
      <c r="Q21" s="508"/>
    </row>
    <row r="22" spans="2:18" x14ac:dyDescent="0.2">
      <c r="B22" s="522"/>
      <c r="C22" s="518" t="s">
        <v>248</v>
      </c>
      <c r="D22" s="519">
        <v>9000000</v>
      </c>
      <c r="E22" s="519">
        <v>9000000</v>
      </c>
      <c r="F22" s="519">
        <v>9000000</v>
      </c>
      <c r="G22" s="781"/>
      <c r="H22" s="804"/>
      <c r="I22" s="526"/>
      <c r="J22" s="526"/>
      <c r="Q22" s="508"/>
    </row>
    <row r="23" spans="2:18" x14ac:dyDescent="0.2">
      <c r="B23" s="522"/>
      <c r="C23" s="518"/>
      <c r="D23" s="519"/>
      <c r="E23" s="537"/>
      <c r="F23" s="537"/>
      <c r="G23" s="522"/>
      <c r="H23" s="808"/>
      <c r="I23" s="526"/>
      <c r="J23" s="526"/>
      <c r="Q23" s="508"/>
    </row>
    <row r="24" spans="2:18" x14ac:dyDescent="0.2">
      <c r="B24" s="522"/>
      <c r="C24" s="522"/>
      <c r="D24" s="519"/>
      <c r="E24" s="537"/>
      <c r="F24" s="537"/>
      <c r="G24" s="522"/>
      <c r="H24" s="804"/>
      <c r="I24" s="526"/>
      <c r="J24" s="526"/>
      <c r="K24" s="508" t="s">
        <v>636</v>
      </c>
      <c r="L24" s="784">
        <v>7302500</v>
      </c>
      <c r="Q24" s="508"/>
    </row>
    <row r="25" spans="2:18" x14ac:dyDescent="0.2">
      <c r="B25" s="515"/>
      <c r="C25" s="506" t="s">
        <v>47</v>
      </c>
      <c r="D25" s="507">
        <f>+D14+D12+D10+D8</f>
        <v>136596000</v>
      </c>
      <c r="E25" s="507">
        <f>+E14+E12+E10+E8</f>
        <v>95171000</v>
      </c>
      <c r="F25" s="507">
        <f>+F14+F12+F10+F8</f>
        <v>17997986</v>
      </c>
      <c r="G25" s="791">
        <f>SUM(G6:G24)</f>
        <v>0</v>
      </c>
      <c r="H25" s="809"/>
      <c r="J25" s="526"/>
      <c r="K25" s="508" t="s">
        <v>637</v>
      </c>
      <c r="L25" s="784">
        <v>4000000</v>
      </c>
    </row>
    <row r="26" spans="2:18" x14ac:dyDescent="0.2">
      <c r="B26" s="524"/>
      <c r="C26" s="525"/>
      <c r="D26" s="523"/>
      <c r="E26" s="523"/>
      <c r="F26" s="523"/>
      <c r="H26" s="788"/>
      <c r="J26" s="526"/>
      <c r="L26" s="784">
        <v>191000</v>
      </c>
    </row>
    <row r="27" spans="2:18" x14ac:dyDescent="0.2">
      <c r="B27" s="524"/>
      <c r="C27" s="525"/>
      <c r="D27" s="523"/>
      <c r="E27" s="523"/>
      <c r="F27" s="523"/>
      <c r="G27" s="782"/>
      <c r="H27" s="787"/>
      <c r="L27" s="784">
        <v>258184</v>
      </c>
    </row>
    <row r="28" spans="2:18" x14ac:dyDescent="0.2">
      <c r="B28" s="524"/>
      <c r="C28" s="525"/>
      <c r="D28" s="523"/>
      <c r="E28" s="523"/>
      <c r="F28" s="523"/>
      <c r="G28" s="523"/>
      <c r="L28" s="784">
        <v>3438321</v>
      </c>
    </row>
    <row r="29" spans="2:18" x14ac:dyDescent="0.2">
      <c r="B29" s="524"/>
      <c r="C29" s="525"/>
      <c r="D29" s="523"/>
      <c r="E29" s="523"/>
      <c r="F29" s="523"/>
      <c r="G29" s="523"/>
      <c r="L29" s="784">
        <v>450000</v>
      </c>
    </row>
    <row r="30" spans="2:18" x14ac:dyDescent="0.2">
      <c r="B30" s="526"/>
      <c r="C30" s="525"/>
      <c r="D30" s="523"/>
      <c r="E30" s="523"/>
      <c r="F30" s="523"/>
      <c r="G30" s="526"/>
      <c r="I30" s="784"/>
      <c r="K30" s="508" t="s">
        <v>638</v>
      </c>
      <c r="L30" s="784">
        <v>1341500</v>
      </c>
    </row>
    <row r="31" spans="2:18" x14ac:dyDescent="0.2">
      <c r="B31" s="526"/>
      <c r="C31" s="525"/>
      <c r="D31" s="523"/>
      <c r="E31" s="523"/>
      <c r="F31" s="523"/>
      <c r="G31" s="526"/>
      <c r="L31" s="803">
        <f>SUM(L24:L30)</f>
        <v>16981505</v>
      </c>
      <c r="O31" s="792"/>
      <c r="P31" s="793"/>
      <c r="Q31" s="793"/>
      <c r="R31" s="792"/>
    </row>
    <row r="32" spans="2:18" x14ac:dyDescent="0.2">
      <c r="B32" s="526"/>
      <c r="C32" s="526"/>
      <c r="D32" s="526"/>
      <c r="E32" s="526"/>
      <c r="F32" s="526"/>
      <c r="G32" s="526"/>
      <c r="L32" s="803">
        <f>+L31+L19</f>
        <v>131770154</v>
      </c>
    </row>
    <row r="33" spans="2:12" x14ac:dyDescent="0.2">
      <c r="B33" s="526"/>
      <c r="C33" s="527"/>
      <c r="D33" s="526"/>
      <c r="E33" s="526"/>
      <c r="F33" s="526"/>
      <c r="G33" s="528"/>
      <c r="L33" s="784">
        <f>+D25-L32</f>
        <v>4825846</v>
      </c>
    </row>
    <row r="34" spans="2:12" x14ac:dyDescent="0.2">
      <c r="B34" s="528"/>
      <c r="C34" s="526"/>
      <c r="D34" s="526"/>
      <c r="E34" s="526"/>
      <c r="F34" s="846"/>
      <c r="G34" s="526"/>
    </row>
    <row r="35" spans="2:12" x14ac:dyDescent="0.2">
      <c r="B35" s="528"/>
      <c r="C35" s="528"/>
      <c r="D35" s="528"/>
      <c r="E35" s="528"/>
      <c r="F35" s="528"/>
      <c r="G35" s="524"/>
    </row>
    <row r="36" spans="2:12" x14ac:dyDescent="0.2">
      <c r="B36" s="524"/>
      <c r="C36" s="528"/>
      <c r="D36" s="526"/>
      <c r="E36" s="526"/>
      <c r="F36" s="526"/>
      <c r="G36" s="529"/>
    </row>
    <row r="37" spans="2:12" x14ac:dyDescent="0.2">
      <c r="B37" s="529"/>
      <c r="C37" s="524"/>
      <c r="D37" s="524"/>
      <c r="E37" s="524"/>
      <c r="F37" s="524"/>
      <c r="G37" s="530"/>
    </row>
    <row r="38" spans="2:12" x14ac:dyDescent="0.2">
      <c r="B38" s="529"/>
      <c r="C38" s="529"/>
      <c r="D38" s="529"/>
      <c r="E38" s="529"/>
      <c r="F38" s="529"/>
      <c r="G38" s="530"/>
    </row>
    <row r="39" spans="2:12" x14ac:dyDescent="0.2">
      <c r="B39" s="529"/>
      <c r="C39" s="524"/>
      <c r="D39" s="530"/>
      <c r="E39" s="530"/>
      <c r="F39" s="530"/>
      <c r="G39" s="530"/>
    </row>
    <row r="40" spans="2:12" x14ac:dyDescent="0.2">
      <c r="B40" s="529"/>
      <c r="C40" s="524"/>
      <c r="D40" s="530"/>
      <c r="E40" s="530"/>
      <c r="F40" s="530"/>
      <c r="G40" s="530"/>
    </row>
    <row r="41" spans="2:12" x14ac:dyDescent="0.2">
      <c r="B41" s="529"/>
      <c r="C41" s="524"/>
      <c r="D41" s="530"/>
      <c r="E41" s="530"/>
      <c r="F41" s="530"/>
      <c r="G41" s="530"/>
    </row>
    <row r="42" spans="2:12" x14ac:dyDescent="0.2">
      <c r="B42" s="529"/>
      <c r="C42" s="524"/>
      <c r="D42" s="530"/>
      <c r="E42" s="530"/>
      <c r="F42" s="530"/>
      <c r="G42" s="530"/>
    </row>
    <row r="43" spans="2:12" x14ac:dyDescent="0.2">
      <c r="B43" s="529"/>
      <c r="C43" s="524"/>
      <c r="D43" s="530"/>
      <c r="E43" s="530"/>
      <c r="F43" s="530"/>
      <c r="G43" s="530"/>
    </row>
    <row r="44" spans="2:12" x14ac:dyDescent="0.2">
      <c r="B44" s="529"/>
      <c r="C44" s="524"/>
      <c r="D44" s="530"/>
      <c r="E44" s="530"/>
      <c r="F44" s="530"/>
      <c r="G44" s="531"/>
    </row>
    <row r="45" spans="2:12" x14ac:dyDescent="0.2">
      <c r="B45" s="529"/>
      <c r="C45" s="524"/>
      <c r="D45" s="530"/>
      <c r="E45" s="530"/>
      <c r="F45" s="530"/>
      <c r="G45" s="524"/>
    </row>
    <row r="46" spans="2:12" x14ac:dyDescent="0.2">
      <c r="B46" s="524"/>
      <c r="C46" s="532"/>
      <c r="D46" s="531"/>
      <c r="E46" s="531"/>
      <c r="F46" s="531"/>
      <c r="G46" s="524"/>
    </row>
    <row r="47" spans="2:12" x14ac:dyDescent="0.2">
      <c r="B47" s="524"/>
      <c r="C47" s="524"/>
      <c r="D47" s="524"/>
      <c r="E47" s="524"/>
      <c r="F47" s="524"/>
      <c r="G47" s="524"/>
    </row>
    <row r="48" spans="2:12" x14ac:dyDescent="0.2">
      <c r="B48" s="524"/>
      <c r="C48" s="524"/>
      <c r="D48" s="524"/>
      <c r="E48" s="524"/>
      <c r="F48" s="524"/>
    </row>
    <row r="49" spans="3:6" x14ac:dyDescent="0.2">
      <c r="C49" s="524"/>
      <c r="D49" s="524"/>
      <c r="E49" s="524"/>
      <c r="F49" s="524"/>
    </row>
  </sheetData>
  <mergeCells count="2">
    <mergeCell ref="B3:G3"/>
    <mergeCell ref="F1:G1"/>
  </mergeCells>
  <phoneticPr fontId="3" type="noConversion"/>
  <printOptions horizontalCentered="1"/>
  <pageMargins left="0.39370078740157483" right="0.43307086614173229" top="0.61" bottom="0.98425196850393704" header="0.43307086614173229" footer="0.51181102362204722"/>
  <pageSetup paperSize="9" scale="80" orientation="portrait" r:id="rId1"/>
  <headerFooter alignWithMargins="0">
    <oddHeader xml:space="preserve">&amp;R&amp;"Times New Roman,Normál"&amp;8 </oddHeader>
  </headerFooter>
  <colBreaks count="2" manualBreakCount="2">
    <brk id="7" max="30" man="1"/>
    <brk id="13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">
    <tabColor theme="6" tint="-0.249977111117893"/>
    <pageSetUpPr fitToPage="1"/>
  </sheetPr>
  <dimension ref="A1:M53"/>
  <sheetViews>
    <sheetView view="pageBreakPreview" topLeftCell="G1" zoomScaleNormal="100" zoomScaleSheetLayoutView="100" workbookViewId="0">
      <selection activeCell="I9" sqref="I9"/>
    </sheetView>
  </sheetViews>
  <sheetFormatPr defaultColWidth="8.85546875" defaultRowHeight="11.25" x14ac:dyDescent="0.2"/>
  <cols>
    <col min="1" max="1" width="8.85546875" style="344"/>
    <col min="2" max="2" width="50.28515625" style="336" customWidth="1"/>
    <col min="3" max="3" width="6.42578125" style="336" customWidth="1"/>
    <col min="4" max="4" width="6.140625" style="336" customWidth="1"/>
    <col min="5" max="7" width="9.5703125" style="336" customWidth="1"/>
    <col min="8" max="8" width="5.85546875" style="344" customWidth="1"/>
    <col min="9" max="9" width="49.140625" style="344" customWidth="1"/>
    <col min="10" max="10" width="8.7109375" style="344" customWidth="1"/>
    <col min="11" max="13" width="9.42578125" style="344" customWidth="1"/>
    <col min="14" max="16384" width="8.85546875" style="344"/>
  </cols>
  <sheetData>
    <row r="1" spans="1:13" ht="11.25" customHeight="1" x14ac:dyDescent="0.2">
      <c r="A1" s="336" t="s">
        <v>414</v>
      </c>
      <c r="E1" s="1121" t="s">
        <v>411</v>
      </c>
      <c r="F1" s="1121"/>
      <c r="G1" s="344"/>
      <c r="H1" s="336"/>
      <c r="K1" s="1086" t="s">
        <v>602</v>
      </c>
      <c r="L1" s="1086"/>
      <c r="M1" s="1086"/>
    </row>
    <row r="2" spans="1:13" ht="22.5" customHeight="1" x14ac:dyDescent="0.2">
      <c r="A2" s="336"/>
      <c r="E2" s="1121"/>
      <c r="F2" s="1121"/>
      <c r="G2" s="344"/>
      <c r="H2" s="569"/>
      <c r="K2" s="1086"/>
      <c r="L2" s="1086"/>
      <c r="M2" s="1086"/>
    </row>
    <row r="3" spans="1:13" ht="21.75" customHeight="1" x14ac:dyDescent="0.2">
      <c r="A3" s="336"/>
      <c r="B3" s="1094" t="s">
        <v>567</v>
      </c>
      <c r="C3" s="1094"/>
      <c r="D3" s="1094"/>
      <c r="E3" s="370"/>
      <c r="F3" s="370"/>
      <c r="G3" s="344"/>
      <c r="H3" s="1124" t="s">
        <v>568</v>
      </c>
      <c r="I3" s="1125"/>
      <c r="J3" s="1125"/>
      <c r="K3" s="1125"/>
      <c r="L3" s="1125"/>
      <c r="M3" s="1125"/>
    </row>
    <row r="4" spans="1:13" x14ac:dyDescent="0.2">
      <c r="B4" s="344"/>
      <c r="C4" s="344"/>
      <c r="D4" s="1122" t="s">
        <v>339</v>
      </c>
      <c r="E4" s="1122"/>
      <c r="F4" s="574"/>
      <c r="G4" s="344"/>
      <c r="H4" s="569"/>
      <c r="I4" s="579"/>
      <c r="J4" s="574"/>
      <c r="K4" s="570"/>
      <c r="L4" s="570"/>
      <c r="M4" s="598" t="s">
        <v>339</v>
      </c>
    </row>
    <row r="5" spans="1:13" ht="33.75" x14ac:dyDescent="0.2">
      <c r="A5" s="571" t="s">
        <v>30</v>
      </c>
      <c r="B5" s="343" t="s">
        <v>31</v>
      </c>
      <c r="C5" s="572" t="s">
        <v>203</v>
      </c>
      <c r="D5" s="1123" t="s">
        <v>42</v>
      </c>
      <c r="E5" s="1123"/>
      <c r="G5" s="344"/>
      <c r="H5" s="1128" t="s">
        <v>543</v>
      </c>
      <c r="I5" s="1128" t="s">
        <v>541</v>
      </c>
      <c r="J5" s="1126" t="s">
        <v>569</v>
      </c>
      <c r="K5" s="1130" t="s">
        <v>477</v>
      </c>
      <c r="L5" s="1130"/>
      <c r="M5" s="1130"/>
    </row>
    <row r="6" spans="1:13" ht="21" x14ac:dyDescent="0.2">
      <c r="A6" s="575" t="s">
        <v>11</v>
      </c>
      <c r="B6" s="552" t="s">
        <v>333</v>
      </c>
      <c r="C6" s="576">
        <v>9400</v>
      </c>
      <c r="D6" s="573"/>
      <c r="E6" s="573"/>
      <c r="G6" s="344"/>
      <c r="H6" s="1129"/>
      <c r="I6" s="1129"/>
      <c r="J6" s="1127"/>
      <c r="K6" s="777" t="s">
        <v>478</v>
      </c>
      <c r="L6" s="777" t="s">
        <v>479</v>
      </c>
      <c r="M6" s="778" t="s">
        <v>186</v>
      </c>
    </row>
    <row r="7" spans="1:13" x14ac:dyDescent="0.2">
      <c r="A7" s="575" t="s">
        <v>12</v>
      </c>
      <c r="B7" s="552" t="s">
        <v>204</v>
      </c>
      <c r="C7" s="576">
        <f>C8+C9</f>
        <v>7600</v>
      </c>
      <c r="D7" s="573"/>
      <c r="E7" s="573"/>
      <c r="G7" s="344"/>
      <c r="H7" s="600" t="s">
        <v>11</v>
      </c>
      <c r="I7" s="592" t="s">
        <v>521</v>
      </c>
      <c r="J7" s="601" t="s">
        <v>481</v>
      </c>
      <c r="K7" s="593">
        <v>0</v>
      </c>
      <c r="L7" s="593">
        <v>0</v>
      </c>
      <c r="M7" s="593">
        <v>0</v>
      </c>
    </row>
    <row r="8" spans="1:13" x14ac:dyDescent="0.2">
      <c r="A8" s="577" t="s">
        <v>49</v>
      </c>
      <c r="B8" s="578" t="s">
        <v>205</v>
      </c>
      <c r="C8" s="342">
        <v>7000</v>
      </c>
      <c r="D8" s="573"/>
      <c r="E8" s="573"/>
      <c r="G8" s="344"/>
      <c r="H8" s="591" t="s">
        <v>544</v>
      </c>
      <c r="I8" s="565" t="s">
        <v>514</v>
      </c>
      <c r="J8" s="596">
        <v>542310</v>
      </c>
      <c r="K8" s="582"/>
      <c r="L8" s="582"/>
      <c r="M8" s="582">
        <f>+K8+L8</f>
        <v>0</v>
      </c>
    </row>
    <row r="9" spans="1:13" x14ac:dyDescent="0.2">
      <c r="A9" s="577" t="s">
        <v>50</v>
      </c>
      <c r="B9" s="560" t="s">
        <v>181</v>
      </c>
      <c r="C9" s="342">
        <v>600</v>
      </c>
      <c r="D9" s="573"/>
      <c r="E9" s="573"/>
      <c r="G9" s="344"/>
      <c r="H9" s="599" t="s">
        <v>12</v>
      </c>
      <c r="I9" s="594" t="s">
        <v>522</v>
      </c>
      <c r="J9" s="602" t="s">
        <v>482</v>
      </c>
      <c r="K9" s="593">
        <f>+K10+K15+K24+K25+K31</f>
        <v>2100000</v>
      </c>
      <c r="L9" s="593">
        <f>+L10+L15+L24+L25+L31</f>
        <v>14900000</v>
      </c>
      <c r="M9" s="593">
        <f t="shared" ref="M9:M31" si="0">+K9+L9</f>
        <v>17000000</v>
      </c>
    </row>
    <row r="10" spans="1:13" ht="22.5" customHeight="1" x14ac:dyDescent="0.2">
      <c r="A10" s="577" t="s">
        <v>13</v>
      </c>
      <c r="B10" s="552" t="s">
        <v>206</v>
      </c>
      <c r="C10" s="341">
        <f>C6+C7</f>
        <v>17000</v>
      </c>
      <c r="D10" s="573"/>
      <c r="E10" s="573"/>
      <c r="G10" s="344"/>
      <c r="H10" s="595" t="s">
        <v>545</v>
      </c>
      <c r="I10" s="584" t="s">
        <v>539</v>
      </c>
      <c r="J10" s="1112">
        <v>5483</v>
      </c>
      <c r="K10" s="1115">
        <v>0</v>
      </c>
      <c r="L10" s="1115">
        <v>2000000</v>
      </c>
      <c r="M10" s="1115">
        <f t="shared" si="0"/>
        <v>2000000</v>
      </c>
    </row>
    <row r="11" spans="1:13" x14ac:dyDescent="0.2">
      <c r="H11" s="595" t="s">
        <v>546</v>
      </c>
      <c r="I11" s="768" t="s">
        <v>483</v>
      </c>
      <c r="J11" s="1113"/>
      <c r="K11" s="1116"/>
      <c r="L11" s="1116"/>
      <c r="M11" s="1116"/>
    </row>
    <row r="12" spans="1:13" x14ac:dyDescent="0.2">
      <c r="H12" s="595" t="s">
        <v>547</v>
      </c>
      <c r="I12" s="768" t="s">
        <v>484</v>
      </c>
      <c r="J12" s="1113"/>
      <c r="K12" s="1116"/>
      <c r="L12" s="1116"/>
      <c r="M12" s="1116"/>
    </row>
    <row r="13" spans="1:13" x14ac:dyDescent="0.2">
      <c r="H13" s="595" t="s">
        <v>548</v>
      </c>
      <c r="I13" s="768" t="s">
        <v>527</v>
      </c>
      <c r="J13" s="1113"/>
      <c r="K13" s="1116"/>
      <c r="L13" s="1116"/>
      <c r="M13" s="1116"/>
    </row>
    <row r="14" spans="1:13" x14ac:dyDescent="0.2">
      <c r="H14" s="595" t="s">
        <v>549</v>
      </c>
      <c r="I14" s="768" t="s">
        <v>528</v>
      </c>
      <c r="J14" s="1114"/>
      <c r="K14" s="1117"/>
      <c r="L14" s="1117"/>
      <c r="M14" s="1117"/>
    </row>
    <row r="15" spans="1:13" x14ac:dyDescent="0.2">
      <c r="H15" s="769" t="s">
        <v>550</v>
      </c>
      <c r="I15" s="770" t="s">
        <v>515</v>
      </c>
      <c r="J15" s="1109">
        <v>548315</v>
      </c>
      <c r="K15" s="1118">
        <v>0</v>
      </c>
      <c r="L15" s="1118">
        <v>8900000</v>
      </c>
      <c r="M15" s="1118">
        <f t="shared" si="0"/>
        <v>8900000</v>
      </c>
    </row>
    <row r="16" spans="1:13" x14ac:dyDescent="0.2">
      <c r="H16" s="769" t="s">
        <v>551</v>
      </c>
      <c r="I16" s="771" t="s">
        <v>530</v>
      </c>
      <c r="J16" s="1110"/>
      <c r="K16" s="1119"/>
      <c r="L16" s="1119"/>
      <c r="M16" s="1119"/>
    </row>
    <row r="17" spans="2:13" x14ac:dyDescent="0.2">
      <c r="H17" s="769" t="s">
        <v>552</v>
      </c>
      <c r="I17" s="771" t="s">
        <v>531</v>
      </c>
      <c r="J17" s="1110"/>
      <c r="K17" s="1119"/>
      <c r="L17" s="1119"/>
      <c r="M17" s="1119"/>
    </row>
    <row r="18" spans="2:13" x14ac:dyDescent="0.2">
      <c r="H18" s="769" t="s">
        <v>553</v>
      </c>
      <c r="I18" s="771" t="s">
        <v>536</v>
      </c>
      <c r="J18" s="1110"/>
      <c r="K18" s="1119"/>
      <c r="L18" s="1119"/>
      <c r="M18" s="1119"/>
    </row>
    <row r="19" spans="2:13" x14ac:dyDescent="0.2">
      <c r="H19" s="769" t="s">
        <v>554</v>
      </c>
      <c r="I19" s="771" t="s">
        <v>532</v>
      </c>
      <c r="J19" s="1110"/>
      <c r="K19" s="1119"/>
      <c r="L19" s="1119"/>
      <c r="M19" s="1119"/>
    </row>
    <row r="20" spans="2:13" x14ac:dyDescent="0.2">
      <c r="H20" s="769" t="s">
        <v>555</v>
      </c>
      <c r="I20" s="772" t="s">
        <v>525</v>
      </c>
      <c r="J20" s="1110"/>
      <c r="K20" s="1119"/>
      <c r="L20" s="1119"/>
      <c r="M20" s="1119"/>
    </row>
    <row r="21" spans="2:13" x14ac:dyDescent="0.2">
      <c r="H21" s="769" t="s">
        <v>556</v>
      </c>
      <c r="I21" s="772" t="s">
        <v>526</v>
      </c>
      <c r="J21" s="1110"/>
      <c r="K21" s="1119"/>
      <c r="L21" s="1119"/>
      <c r="M21" s="1119"/>
    </row>
    <row r="22" spans="2:13" x14ac:dyDescent="0.2">
      <c r="H22" s="769" t="s">
        <v>557</v>
      </c>
      <c r="I22" s="772" t="s">
        <v>537</v>
      </c>
      <c r="J22" s="1110"/>
      <c r="K22" s="1119"/>
      <c r="L22" s="1119"/>
      <c r="M22" s="1119"/>
    </row>
    <row r="23" spans="2:13" x14ac:dyDescent="0.2">
      <c r="H23" s="769" t="s">
        <v>558</v>
      </c>
      <c r="I23" s="772" t="s">
        <v>538</v>
      </c>
      <c r="J23" s="1111"/>
      <c r="K23" s="1120"/>
      <c r="L23" s="1120"/>
      <c r="M23" s="1120"/>
    </row>
    <row r="24" spans="2:13" x14ac:dyDescent="0.2">
      <c r="H24" s="595" t="s">
        <v>559</v>
      </c>
      <c r="I24" s="589" t="s">
        <v>542</v>
      </c>
      <c r="J24" s="597">
        <v>548316</v>
      </c>
      <c r="K24" s="585">
        <v>600000</v>
      </c>
      <c r="L24" s="585">
        <v>0</v>
      </c>
      <c r="M24" s="585">
        <f t="shared" si="0"/>
        <v>600000</v>
      </c>
    </row>
    <row r="25" spans="2:13" x14ac:dyDescent="0.2">
      <c r="H25" s="769" t="s">
        <v>560</v>
      </c>
      <c r="I25" s="773" t="s">
        <v>540</v>
      </c>
      <c r="J25" s="1109">
        <v>548317</v>
      </c>
      <c r="K25" s="774">
        <f>SUM(K26:K30)</f>
        <v>1500000</v>
      </c>
      <c r="L25" s="774">
        <f>SUM(L26:L30)</f>
        <v>500000</v>
      </c>
      <c r="M25" s="774">
        <f>+K25+L25</f>
        <v>2000000</v>
      </c>
    </row>
    <row r="26" spans="2:13" ht="22.5" x14ac:dyDescent="0.2">
      <c r="H26" s="769" t="s">
        <v>561</v>
      </c>
      <c r="I26" s="775" t="s">
        <v>524</v>
      </c>
      <c r="J26" s="1110"/>
      <c r="K26" s="774"/>
      <c r="L26" s="774">
        <v>500000</v>
      </c>
      <c r="M26" s="774">
        <f t="shared" si="0"/>
        <v>500000</v>
      </c>
    </row>
    <row r="27" spans="2:13" ht="22.5" x14ac:dyDescent="0.2">
      <c r="H27" s="769" t="s">
        <v>562</v>
      </c>
      <c r="I27" s="775" t="s">
        <v>535</v>
      </c>
      <c r="J27" s="1110"/>
      <c r="K27" s="774"/>
      <c r="L27" s="774"/>
      <c r="M27" s="774">
        <f t="shared" si="0"/>
        <v>0</v>
      </c>
    </row>
    <row r="28" spans="2:13" ht="22.5" x14ac:dyDescent="0.2">
      <c r="H28" s="769" t="s">
        <v>563</v>
      </c>
      <c r="I28" s="775" t="s">
        <v>529</v>
      </c>
      <c r="J28" s="1110"/>
      <c r="K28" s="774">
        <v>1500000</v>
      </c>
      <c r="L28" s="774"/>
      <c r="M28" s="774">
        <f t="shared" si="0"/>
        <v>1500000</v>
      </c>
    </row>
    <row r="29" spans="2:13" ht="22.5" x14ac:dyDescent="0.2">
      <c r="H29" s="769" t="s">
        <v>564</v>
      </c>
      <c r="I29" s="775" t="s">
        <v>534</v>
      </c>
      <c r="J29" s="1110"/>
      <c r="K29" s="774"/>
      <c r="L29" s="774"/>
      <c r="M29" s="774">
        <f t="shared" si="0"/>
        <v>0</v>
      </c>
    </row>
    <row r="30" spans="2:13" x14ac:dyDescent="0.2">
      <c r="H30" s="769" t="s">
        <v>565</v>
      </c>
      <c r="I30" s="775" t="s">
        <v>533</v>
      </c>
      <c r="J30" s="1111"/>
      <c r="K30" s="774"/>
      <c r="L30" s="774"/>
      <c r="M30" s="774">
        <f t="shared" si="0"/>
        <v>0</v>
      </c>
    </row>
    <row r="31" spans="2:13" ht="33.75" x14ac:dyDescent="0.2">
      <c r="H31" s="776" t="s">
        <v>566</v>
      </c>
      <c r="I31" s="590" t="s">
        <v>523</v>
      </c>
      <c r="J31" s="597">
        <v>548319</v>
      </c>
      <c r="K31" s="588">
        <v>0</v>
      </c>
      <c r="L31" s="588">
        <v>3500000</v>
      </c>
      <c r="M31" s="585">
        <f t="shared" si="0"/>
        <v>3500000</v>
      </c>
    </row>
    <row r="32" spans="2:13" s="382" customFormat="1" ht="21.75" customHeight="1" x14ac:dyDescent="0.25">
      <c r="B32" s="381"/>
      <c r="C32" s="381"/>
      <c r="D32" s="381"/>
      <c r="E32" s="381"/>
      <c r="F32" s="381"/>
      <c r="G32" s="381"/>
      <c r="H32" s="603" t="s">
        <v>13</v>
      </c>
      <c r="I32" s="586" t="s">
        <v>186</v>
      </c>
      <c r="J32" s="586" t="s">
        <v>480</v>
      </c>
      <c r="K32" s="587">
        <f>+K7+K9</f>
        <v>2100000</v>
      </c>
      <c r="L32" s="587">
        <f t="shared" ref="L32:M32" si="1">+L7+L9</f>
        <v>14900000</v>
      </c>
      <c r="M32" s="587">
        <f t="shared" si="1"/>
        <v>17000000</v>
      </c>
    </row>
    <row r="35" spans="1:7" x14ac:dyDescent="0.2">
      <c r="A35" s="581"/>
    </row>
    <row r="36" spans="1:7" x14ac:dyDescent="0.2">
      <c r="A36" s="581"/>
    </row>
    <row r="37" spans="1:7" x14ac:dyDescent="0.2">
      <c r="A37" s="581"/>
    </row>
    <row r="38" spans="1:7" x14ac:dyDescent="0.2">
      <c r="A38" s="581"/>
    </row>
    <row r="39" spans="1:7" x14ac:dyDescent="0.2">
      <c r="A39" s="581"/>
    </row>
    <row r="41" spans="1:7" x14ac:dyDescent="0.2">
      <c r="G41" s="583"/>
    </row>
    <row r="42" spans="1:7" x14ac:dyDescent="0.2">
      <c r="A42" s="580"/>
    </row>
    <row r="43" spans="1:7" x14ac:dyDescent="0.2">
      <c r="A43" s="581"/>
    </row>
    <row r="44" spans="1:7" x14ac:dyDescent="0.2">
      <c r="A44" s="581"/>
    </row>
    <row r="45" spans="1:7" x14ac:dyDescent="0.2">
      <c r="A45" s="581"/>
    </row>
    <row r="46" spans="1:7" x14ac:dyDescent="0.2">
      <c r="A46" s="580"/>
    </row>
    <row r="53" ht="11.25" customHeight="1" x14ac:dyDescent="0.2"/>
  </sheetData>
  <mergeCells count="19">
    <mergeCell ref="E1:F2"/>
    <mergeCell ref="B3:D3"/>
    <mergeCell ref="D4:E4"/>
    <mergeCell ref="D5:E5"/>
    <mergeCell ref="H3:M3"/>
    <mergeCell ref="K1:M2"/>
    <mergeCell ref="J5:J6"/>
    <mergeCell ref="I5:I6"/>
    <mergeCell ref="H5:H6"/>
    <mergeCell ref="K5:M5"/>
    <mergeCell ref="J25:J30"/>
    <mergeCell ref="J10:J14"/>
    <mergeCell ref="K10:K14"/>
    <mergeCell ref="L10:L14"/>
    <mergeCell ref="M10:M14"/>
    <mergeCell ref="J15:J23"/>
    <mergeCell ref="K15:K23"/>
    <mergeCell ref="M15:M23"/>
    <mergeCell ref="L15:L23"/>
  </mergeCells>
  <phoneticPr fontId="31" type="noConversion"/>
  <printOptions horizontalCentered="1"/>
  <pageMargins left="0.3" right="0.11811023622047245" top="0.55118110236220474" bottom="0.5118110236220472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V62"/>
  <sheetViews>
    <sheetView view="pageBreakPreview" zoomScale="130" zoomScaleNormal="100" zoomScaleSheetLayoutView="130" workbookViewId="0">
      <selection activeCell="J20" sqref="A2:J20"/>
    </sheetView>
  </sheetViews>
  <sheetFormatPr defaultColWidth="9" defaultRowHeight="15" x14ac:dyDescent="0.25"/>
  <cols>
    <col min="1" max="1" width="6.5703125" style="3" customWidth="1"/>
    <col min="2" max="2" width="39.5703125" style="3" customWidth="1"/>
    <col min="3" max="10" width="9.7109375" style="3" customWidth="1"/>
    <col min="11" max="11" width="9" style="3" customWidth="1"/>
    <col min="12" max="12" width="42.28515625" style="3" customWidth="1"/>
    <col min="13" max="13" width="10.28515625" style="3" customWidth="1"/>
    <col min="14" max="14" width="9.7109375" style="3" customWidth="1"/>
    <col min="15" max="16" width="10.28515625" style="3" customWidth="1"/>
    <col min="23" max="16384" width="9" style="3"/>
  </cols>
  <sheetData>
    <row r="1" spans="1:10" ht="12" customHeight="1" x14ac:dyDescent="0.25"/>
    <row r="2" spans="1:10" ht="42" customHeight="1" x14ac:dyDescent="0.25">
      <c r="A2" s="32"/>
      <c r="B2" s="81"/>
      <c r="C2" s="81"/>
      <c r="D2" s="81"/>
      <c r="E2" s="20"/>
      <c r="F2" s="20"/>
      <c r="G2" s="1134" t="s">
        <v>603</v>
      </c>
      <c r="H2" s="1134"/>
      <c r="I2" s="1134"/>
      <c r="J2" s="1134"/>
    </row>
    <row r="3" spans="1:10" ht="29.25" customHeight="1" x14ac:dyDescent="0.25">
      <c r="A3" s="1133" t="s">
        <v>582</v>
      </c>
      <c r="B3" s="1133"/>
      <c r="C3" s="1133"/>
      <c r="D3" s="1133"/>
      <c r="E3" s="1133"/>
      <c r="F3" s="1133"/>
      <c r="G3" s="1133"/>
      <c r="H3" s="1133"/>
      <c r="I3" s="1133"/>
      <c r="J3" s="1133"/>
    </row>
    <row r="4" spans="1:10" x14ac:dyDescent="0.25">
      <c r="A4" s="157"/>
      <c r="B4" s="157"/>
      <c r="C4" s="31"/>
      <c r="D4" s="31"/>
      <c r="E4" s="21"/>
      <c r="F4" s="21"/>
      <c r="G4" s="1131" t="s">
        <v>339</v>
      </c>
      <c r="H4" s="1131"/>
      <c r="I4" s="1132"/>
      <c r="J4" s="232"/>
    </row>
    <row r="5" spans="1:10" ht="72" x14ac:dyDescent="0.25">
      <c r="A5" s="79" t="s">
        <v>30</v>
      </c>
      <c r="B5" s="79" t="s">
        <v>31</v>
      </c>
      <c r="C5" s="163" t="s">
        <v>460</v>
      </c>
      <c r="D5" s="163" t="s">
        <v>471</v>
      </c>
      <c r="E5" s="163" t="s">
        <v>463</v>
      </c>
      <c r="F5" s="163" t="s">
        <v>464</v>
      </c>
      <c r="G5" s="163" t="s">
        <v>465</v>
      </c>
      <c r="H5" s="163" t="s">
        <v>466</v>
      </c>
      <c r="I5" s="163" t="s">
        <v>467</v>
      </c>
      <c r="J5" s="163" t="s">
        <v>472</v>
      </c>
    </row>
    <row r="6" spans="1:10" ht="22.5" x14ac:dyDescent="0.25">
      <c r="A6" s="543" t="s">
        <v>11</v>
      </c>
      <c r="B6" s="540" t="s">
        <v>292</v>
      </c>
      <c r="C6" s="541">
        <f>SUM(C7:C10)</f>
        <v>247430000</v>
      </c>
      <c r="D6" s="541">
        <f>SUM(D7:D10)</f>
        <v>247430000</v>
      </c>
      <c r="E6" s="542">
        <v>0</v>
      </c>
      <c r="F6" s="542">
        <v>0</v>
      </c>
      <c r="G6" s="542">
        <v>0</v>
      </c>
      <c r="H6" s="542">
        <v>0</v>
      </c>
      <c r="I6" s="541">
        <f>C6+E6+G6</f>
        <v>247430000</v>
      </c>
      <c r="J6" s="541">
        <f>D6+F6+H6</f>
        <v>247430000</v>
      </c>
    </row>
    <row r="7" spans="1:10" x14ac:dyDescent="0.25">
      <c r="A7" s="346" t="s">
        <v>297</v>
      </c>
      <c r="B7" s="195" t="s">
        <v>293</v>
      </c>
      <c r="C7" s="194">
        <v>4507000</v>
      </c>
      <c r="D7" s="194">
        <f>+C7</f>
        <v>4507000</v>
      </c>
      <c r="E7" s="241">
        <v>0</v>
      </c>
      <c r="F7" s="241">
        <v>0</v>
      </c>
      <c r="G7" s="241">
        <v>0</v>
      </c>
      <c r="H7" s="241">
        <v>0</v>
      </c>
      <c r="I7" s="50">
        <f t="shared" ref="I7:I19" si="0">C7+E7+G7</f>
        <v>4507000</v>
      </c>
      <c r="J7" s="50">
        <f t="shared" ref="J7:J20" si="1">D7+F7+H7</f>
        <v>4507000</v>
      </c>
    </row>
    <row r="8" spans="1:10" x14ac:dyDescent="0.25">
      <c r="A8" s="346" t="s">
        <v>298</v>
      </c>
      <c r="B8" s="195" t="s">
        <v>294</v>
      </c>
      <c r="C8" s="241">
        <v>7097000</v>
      </c>
      <c r="D8" s="241">
        <f>+C8</f>
        <v>7097000</v>
      </c>
      <c r="E8" s="241">
        <v>0</v>
      </c>
      <c r="F8" s="241">
        <v>0</v>
      </c>
      <c r="G8" s="241">
        <v>0</v>
      </c>
      <c r="H8" s="241">
        <v>0</v>
      </c>
      <c r="I8" s="50">
        <f t="shared" si="0"/>
        <v>7097000</v>
      </c>
      <c r="J8" s="50">
        <f t="shared" si="1"/>
        <v>7097000</v>
      </c>
    </row>
    <row r="9" spans="1:10" x14ac:dyDescent="0.25">
      <c r="A9" s="346" t="s">
        <v>299</v>
      </c>
      <c r="B9" s="195" t="s">
        <v>295</v>
      </c>
      <c r="C9" s="194">
        <v>223859000</v>
      </c>
      <c r="D9" s="194">
        <f>+C9</f>
        <v>223859000</v>
      </c>
      <c r="E9" s="194">
        <v>0</v>
      </c>
      <c r="F9" s="194">
        <v>0</v>
      </c>
      <c r="G9" s="194">
        <v>0</v>
      </c>
      <c r="H9" s="194">
        <v>0</v>
      </c>
      <c r="I9" s="50">
        <f t="shared" si="0"/>
        <v>223859000</v>
      </c>
      <c r="J9" s="50">
        <f t="shared" si="1"/>
        <v>223859000</v>
      </c>
    </row>
    <row r="10" spans="1:10" s="196" customFormat="1" ht="12.75" x14ac:dyDescent="0.2">
      <c r="A10" s="346" t="s">
        <v>300</v>
      </c>
      <c r="B10" s="195" t="s">
        <v>296</v>
      </c>
      <c r="C10" s="194">
        <v>11967000</v>
      </c>
      <c r="D10" s="194">
        <f>+C10</f>
        <v>11967000</v>
      </c>
      <c r="E10" s="194">
        <v>0</v>
      </c>
      <c r="F10" s="194">
        <v>0</v>
      </c>
      <c r="G10" s="241">
        <v>0</v>
      </c>
      <c r="H10" s="241">
        <v>0</v>
      </c>
      <c r="I10" s="50">
        <f t="shared" si="0"/>
        <v>11967000</v>
      </c>
      <c r="J10" s="50">
        <f t="shared" si="1"/>
        <v>11967000</v>
      </c>
    </row>
    <row r="11" spans="1:10" s="345" customFormat="1" ht="12.75" x14ac:dyDescent="0.2">
      <c r="A11" s="543" t="s">
        <v>12</v>
      </c>
      <c r="B11" s="540" t="s">
        <v>286</v>
      </c>
      <c r="C11" s="541">
        <f t="shared" ref="C11:D11" si="2">SUM(C12:C15)</f>
        <v>0</v>
      </c>
      <c r="D11" s="541">
        <f t="shared" si="2"/>
        <v>0</v>
      </c>
      <c r="E11" s="541">
        <f>SUM(E12:E15)</f>
        <v>45500000</v>
      </c>
      <c r="F11" s="541">
        <f t="shared" ref="F11:H11" si="3">SUM(F12:F15)</f>
        <v>45500000</v>
      </c>
      <c r="G11" s="542">
        <f t="shared" si="3"/>
        <v>0</v>
      </c>
      <c r="H11" s="542">
        <f t="shared" si="3"/>
        <v>0</v>
      </c>
      <c r="I11" s="541">
        <f t="shared" si="0"/>
        <v>45500000</v>
      </c>
      <c r="J11" s="541">
        <f t="shared" si="1"/>
        <v>45500000</v>
      </c>
    </row>
    <row r="12" spans="1:10" s="196" customFormat="1" ht="12.75" x14ac:dyDescent="0.2">
      <c r="A12" s="346" t="s">
        <v>297</v>
      </c>
      <c r="B12" s="195" t="s">
        <v>429</v>
      </c>
      <c r="C12" s="194">
        <v>0</v>
      </c>
      <c r="D12" s="194">
        <v>0</v>
      </c>
      <c r="E12" s="194">
        <v>4000000</v>
      </c>
      <c r="F12" s="194">
        <f>+E12</f>
        <v>4000000</v>
      </c>
      <c r="G12" s="194">
        <v>0</v>
      </c>
      <c r="H12" s="194">
        <v>0</v>
      </c>
      <c r="I12" s="50">
        <f t="shared" si="0"/>
        <v>4000000</v>
      </c>
      <c r="J12" s="50">
        <f t="shared" si="1"/>
        <v>4000000</v>
      </c>
    </row>
    <row r="13" spans="1:10" x14ac:dyDescent="0.25">
      <c r="A13" s="346" t="s">
        <v>298</v>
      </c>
      <c r="B13" s="195" t="s">
        <v>287</v>
      </c>
      <c r="C13" s="194">
        <v>0</v>
      </c>
      <c r="D13" s="194">
        <v>0</v>
      </c>
      <c r="E13" s="194">
        <v>2000000</v>
      </c>
      <c r="F13" s="194">
        <f>+E13</f>
        <v>2000000</v>
      </c>
      <c r="G13" s="242">
        <v>0</v>
      </c>
      <c r="H13" s="242">
        <v>0</v>
      </c>
      <c r="I13" s="50">
        <f t="shared" si="0"/>
        <v>2000000</v>
      </c>
      <c r="J13" s="50">
        <f t="shared" si="1"/>
        <v>2000000</v>
      </c>
    </row>
    <row r="14" spans="1:10" x14ac:dyDescent="0.25">
      <c r="A14" s="346" t="s">
        <v>299</v>
      </c>
      <c r="B14" s="195" t="s">
        <v>291</v>
      </c>
      <c r="C14" s="194">
        <v>0</v>
      </c>
      <c r="D14" s="194">
        <v>0</v>
      </c>
      <c r="E14" s="194">
        <v>27500000</v>
      </c>
      <c r="F14" s="194">
        <f>+E14</f>
        <v>27500000</v>
      </c>
      <c r="G14" s="242">
        <v>0</v>
      </c>
      <c r="H14" s="242">
        <v>0</v>
      </c>
      <c r="I14" s="50">
        <f t="shared" si="0"/>
        <v>27500000</v>
      </c>
      <c r="J14" s="50">
        <f t="shared" si="1"/>
        <v>27500000</v>
      </c>
    </row>
    <row r="15" spans="1:10" x14ac:dyDescent="0.25">
      <c r="A15" s="346" t="s">
        <v>300</v>
      </c>
      <c r="B15" s="195" t="s">
        <v>473</v>
      </c>
      <c r="C15" s="194">
        <v>0</v>
      </c>
      <c r="D15" s="194">
        <v>0</v>
      </c>
      <c r="E15" s="194">
        <v>12000000</v>
      </c>
      <c r="F15" s="194">
        <f>+E15</f>
        <v>12000000</v>
      </c>
      <c r="G15" s="242">
        <v>0</v>
      </c>
      <c r="H15" s="242">
        <v>0</v>
      </c>
      <c r="I15" s="50">
        <f t="shared" si="0"/>
        <v>12000000</v>
      </c>
      <c r="J15" s="50">
        <f t="shared" si="1"/>
        <v>12000000</v>
      </c>
    </row>
    <row r="16" spans="1:10" s="347" customFormat="1" ht="12.75" x14ac:dyDescent="0.2">
      <c r="A16" s="543" t="s">
        <v>13</v>
      </c>
      <c r="B16" s="540" t="s">
        <v>386</v>
      </c>
      <c r="C16" s="541">
        <v>0</v>
      </c>
      <c r="D16" s="541">
        <v>0</v>
      </c>
      <c r="E16" s="541">
        <v>0</v>
      </c>
      <c r="F16" s="541">
        <v>0</v>
      </c>
      <c r="G16" s="544">
        <v>0</v>
      </c>
      <c r="H16" s="544">
        <v>0</v>
      </c>
      <c r="I16" s="541">
        <f t="shared" si="0"/>
        <v>0</v>
      </c>
      <c r="J16" s="541">
        <f t="shared" si="1"/>
        <v>0</v>
      </c>
    </row>
    <row r="17" spans="1:22" s="347" customFormat="1" ht="22.5" x14ac:dyDescent="0.25">
      <c r="A17" s="543" t="s">
        <v>14</v>
      </c>
      <c r="B17" s="540" t="s">
        <v>307</v>
      </c>
      <c r="C17" s="541">
        <f>SUM(C18)</f>
        <v>55930000</v>
      </c>
      <c r="D17" s="541">
        <f t="shared" ref="D17:H17" si="4">SUM(D18)</f>
        <v>55930000</v>
      </c>
      <c r="E17" s="541">
        <f t="shared" si="4"/>
        <v>0</v>
      </c>
      <c r="F17" s="541">
        <f t="shared" si="4"/>
        <v>0</v>
      </c>
      <c r="G17" s="541">
        <f t="shared" si="4"/>
        <v>0</v>
      </c>
      <c r="H17" s="541">
        <f t="shared" si="4"/>
        <v>0</v>
      </c>
      <c r="I17" s="541">
        <f>C17+E17+G17</f>
        <v>55930000</v>
      </c>
      <c r="J17" s="541">
        <f t="shared" si="1"/>
        <v>55930000</v>
      </c>
      <c r="Q17" s="105"/>
      <c r="R17" s="105"/>
      <c r="S17" s="105"/>
      <c r="T17" s="105"/>
      <c r="U17" s="105"/>
      <c r="V17" s="105"/>
    </row>
    <row r="18" spans="1:22" s="196" customFormat="1" ht="22.5" x14ac:dyDescent="0.25">
      <c r="A18" s="346" t="s">
        <v>297</v>
      </c>
      <c r="B18" s="549" t="s">
        <v>474</v>
      </c>
      <c r="C18" s="194">
        <v>55930000</v>
      </c>
      <c r="D18" s="194">
        <f>+C18</f>
        <v>55930000</v>
      </c>
      <c r="E18" s="242">
        <v>0</v>
      </c>
      <c r="F18" s="242">
        <v>0</v>
      </c>
      <c r="G18" s="242">
        <v>0</v>
      </c>
      <c r="H18" s="242">
        <v>0</v>
      </c>
      <c r="I18" s="550">
        <f t="shared" si="0"/>
        <v>55930000</v>
      </c>
      <c r="J18" s="550">
        <f t="shared" si="1"/>
        <v>55930000</v>
      </c>
      <c r="Q18" s="310"/>
      <c r="R18" s="310"/>
      <c r="S18" s="310"/>
      <c r="T18" s="310"/>
      <c r="U18" s="310"/>
      <c r="V18" s="310"/>
    </row>
    <row r="19" spans="1:22" x14ac:dyDescent="0.25">
      <c r="A19" s="546" t="s">
        <v>15</v>
      </c>
      <c r="B19" s="540" t="s">
        <v>33</v>
      </c>
      <c r="C19" s="547">
        <v>0</v>
      </c>
      <c r="D19" s="547">
        <v>0</v>
      </c>
      <c r="E19" s="542">
        <v>1600000</v>
      </c>
      <c r="F19" s="547">
        <f>+E19</f>
        <v>1600000</v>
      </c>
      <c r="G19" s="544">
        <v>0</v>
      </c>
      <c r="H19" s="544">
        <v>0</v>
      </c>
      <c r="I19" s="541">
        <f t="shared" si="0"/>
        <v>1600000</v>
      </c>
      <c r="J19" s="541">
        <f t="shared" si="1"/>
        <v>1600000</v>
      </c>
    </row>
    <row r="20" spans="1:22" x14ac:dyDescent="0.25">
      <c r="A20" s="545"/>
      <c r="B20" s="543" t="s">
        <v>0</v>
      </c>
      <c r="C20" s="541">
        <f>+C11+C6+C16+C17+C19</f>
        <v>303360000</v>
      </c>
      <c r="D20" s="541">
        <f t="shared" ref="D20:H20" si="5">+D11+D6+D16+D17+D19</f>
        <v>303360000</v>
      </c>
      <c r="E20" s="541">
        <f>+E11+E6+E16+E17+E19</f>
        <v>47100000</v>
      </c>
      <c r="F20" s="541">
        <f t="shared" si="5"/>
        <v>47100000</v>
      </c>
      <c r="G20" s="541">
        <f t="shared" si="5"/>
        <v>0</v>
      </c>
      <c r="H20" s="541">
        <f t="shared" si="5"/>
        <v>0</v>
      </c>
      <c r="I20" s="541">
        <f>C20+E20+G20</f>
        <v>350460000</v>
      </c>
      <c r="J20" s="541">
        <f t="shared" si="1"/>
        <v>350460000</v>
      </c>
    </row>
    <row r="21" spans="1:22" x14ac:dyDescent="0.25">
      <c r="A21" s="33"/>
      <c r="B21" s="33"/>
      <c r="C21" s="33"/>
      <c r="D21" s="33"/>
      <c r="E21" s="32"/>
      <c r="F21" s="32"/>
      <c r="G21" s="32"/>
      <c r="H21" s="32"/>
      <c r="I21" s="32"/>
      <c r="J21" s="548"/>
    </row>
    <row r="22" spans="1:22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7" spans="1:22" x14ac:dyDescent="0.25">
      <c r="C27" s="355"/>
    </row>
    <row r="28" spans="1:22" x14ac:dyDescent="0.25">
      <c r="C28" s="355"/>
    </row>
    <row r="29" spans="1:22" x14ac:dyDescent="0.25">
      <c r="B29" s="3" t="s">
        <v>443</v>
      </c>
      <c r="C29" s="357">
        <f>276598470-15000000</f>
        <v>261598470</v>
      </c>
    </row>
    <row r="30" spans="1:22" x14ac:dyDescent="0.25">
      <c r="B30" s="3" t="s">
        <v>445</v>
      </c>
      <c r="C30" s="357">
        <v>400254</v>
      </c>
    </row>
    <row r="31" spans="1:22" x14ac:dyDescent="0.25">
      <c r="B31" s="3" t="s">
        <v>446</v>
      </c>
      <c r="C31" s="357">
        <v>411814</v>
      </c>
    </row>
    <row r="32" spans="1:22" x14ac:dyDescent="0.25">
      <c r="B32" s="3" t="s">
        <v>456</v>
      </c>
      <c r="C32" s="357">
        <v>425430</v>
      </c>
      <c r="D32" s="355">
        <f>SUM(C30:C32)</f>
        <v>1237498</v>
      </c>
    </row>
    <row r="33" spans="2:4" x14ac:dyDescent="0.25">
      <c r="B33" s="3" t="s">
        <v>436</v>
      </c>
      <c r="C33" s="355">
        <v>100000</v>
      </c>
    </row>
    <row r="34" spans="2:4" x14ac:dyDescent="0.25">
      <c r="B34" s="3" t="s">
        <v>437</v>
      </c>
      <c r="C34" s="355">
        <v>100000</v>
      </c>
    </row>
    <row r="35" spans="2:4" x14ac:dyDescent="0.25">
      <c r="B35" s="3" t="s">
        <v>439</v>
      </c>
      <c r="C35" s="355">
        <v>200000</v>
      </c>
    </row>
    <row r="36" spans="2:4" x14ac:dyDescent="0.25">
      <c r="B36" s="3" t="s">
        <v>440</v>
      </c>
      <c r="C36" s="355">
        <v>1318000</v>
      </c>
    </row>
    <row r="37" spans="2:4" x14ac:dyDescent="0.25">
      <c r="B37" s="3" t="s">
        <v>441</v>
      </c>
      <c r="C37" s="355">
        <v>250000</v>
      </c>
    </row>
    <row r="38" spans="2:4" x14ac:dyDescent="0.25">
      <c r="B38" s="3" t="s">
        <v>442</v>
      </c>
      <c r="C38" s="355">
        <v>200000</v>
      </c>
    </row>
    <row r="39" spans="2:4" x14ac:dyDescent="0.25">
      <c r="B39" s="3" t="s">
        <v>444</v>
      </c>
      <c r="C39" s="355">
        <v>1150000</v>
      </c>
    </row>
    <row r="40" spans="2:4" x14ac:dyDescent="0.25">
      <c r="B40" s="3" t="s">
        <v>448</v>
      </c>
      <c r="C40" s="355">
        <v>145000</v>
      </c>
    </row>
    <row r="41" spans="2:4" x14ac:dyDescent="0.25">
      <c r="B41" s="3" t="s">
        <v>449</v>
      </c>
      <c r="C41" s="355">
        <v>100000</v>
      </c>
    </row>
    <row r="42" spans="2:4" x14ac:dyDescent="0.25">
      <c r="B42" s="3" t="s">
        <v>450</v>
      </c>
      <c r="C42" s="355">
        <v>1932000</v>
      </c>
    </row>
    <row r="43" spans="2:4" x14ac:dyDescent="0.25">
      <c r="B43" s="3" t="s">
        <v>454</v>
      </c>
      <c r="C43" s="355">
        <v>498000</v>
      </c>
    </row>
    <row r="44" spans="2:4" x14ac:dyDescent="0.25">
      <c r="B44" s="3" t="s">
        <v>455</v>
      </c>
      <c r="C44" s="355">
        <v>1041100</v>
      </c>
      <c r="D44" s="355">
        <f>SUM(C33:C44)</f>
        <v>7034100</v>
      </c>
    </row>
    <row r="45" spans="2:4" x14ac:dyDescent="0.25">
      <c r="B45" s="3" t="s">
        <v>453</v>
      </c>
      <c r="C45" s="356">
        <v>3000000</v>
      </c>
    </row>
    <row r="46" spans="2:4" x14ac:dyDescent="0.25">
      <c r="B46" s="3" t="s">
        <v>447</v>
      </c>
      <c r="C46" s="357">
        <v>1100000</v>
      </c>
    </row>
    <row r="47" spans="2:4" x14ac:dyDescent="0.25">
      <c r="B47" s="3" t="s">
        <v>452</v>
      </c>
      <c r="C47" s="357">
        <v>200000</v>
      </c>
    </row>
    <row r="48" spans="2:4" x14ac:dyDescent="0.25">
      <c r="B48" s="3" t="s">
        <v>451</v>
      </c>
      <c r="C48" s="357">
        <v>164500</v>
      </c>
    </row>
    <row r="49" spans="2:5" x14ac:dyDescent="0.25">
      <c r="B49" s="3" t="s">
        <v>438</v>
      </c>
      <c r="C49" s="357">
        <v>11176000</v>
      </c>
      <c r="D49" s="3">
        <v>12192000</v>
      </c>
      <c r="E49" s="355">
        <f>+D49-C49</f>
        <v>1016000</v>
      </c>
    </row>
    <row r="50" spans="2:5" x14ac:dyDescent="0.25">
      <c r="C50" s="355">
        <f>SUM(C33:C49)</f>
        <v>22674600</v>
      </c>
    </row>
    <row r="51" spans="2:5" x14ac:dyDescent="0.25">
      <c r="C51" s="355">
        <v>300510568</v>
      </c>
    </row>
    <row r="52" spans="2:5" x14ac:dyDescent="0.25">
      <c r="C52" s="355">
        <f>+C51-C50</f>
        <v>277835968</v>
      </c>
    </row>
    <row r="53" spans="2:5" x14ac:dyDescent="0.25">
      <c r="C53" s="355"/>
    </row>
    <row r="54" spans="2:5" x14ac:dyDescent="0.25">
      <c r="C54" s="355"/>
    </row>
    <row r="55" spans="2:5" x14ac:dyDescent="0.25">
      <c r="C55" s="355"/>
    </row>
    <row r="56" spans="2:5" x14ac:dyDescent="0.25">
      <c r="C56" s="355"/>
    </row>
    <row r="57" spans="2:5" x14ac:dyDescent="0.25">
      <c r="C57" s="355"/>
    </row>
    <row r="58" spans="2:5" x14ac:dyDescent="0.25">
      <c r="C58" s="355"/>
    </row>
    <row r="59" spans="2:5" x14ac:dyDescent="0.25">
      <c r="C59" s="355"/>
    </row>
    <row r="60" spans="2:5" x14ac:dyDescent="0.25">
      <c r="C60" s="355"/>
    </row>
    <row r="61" spans="2:5" x14ac:dyDescent="0.25">
      <c r="C61" s="355"/>
    </row>
    <row r="62" spans="2:5" x14ac:dyDescent="0.25">
      <c r="C62" s="355"/>
    </row>
  </sheetData>
  <mergeCells count="3">
    <mergeCell ref="G4:I4"/>
    <mergeCell ref="A3:J3"/>
    <mergeCell ref="G2:J2"/>
  </mergeCells>
  <phoneticPr fontId="3" type="noConversion"/>
  <printOptions horizontalCentered="1"/>
  <pageMargins left="0.19685039370078741" right="0.19685039370078741" top="0.55118110236220474" bottom="0.78740157480314965" header="0.31496062992125984" footer="0.51181102362204722"/>
  <pageSetup paperSize="9" scale="46" orientation="portrait" r:id="rId1"/>
  <headerFooter alignWithMargins="0"/>
  <colBreaks count="1" manualBreakCount="1">
    <brk id="9" max="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L24"/>
  <sheetViews>
    <sheetView workbookViewId="0">
      <selection activeCell="J17" sqref="A1:J17"/>
    </sheetView>
  </sheetViews>
  <sheetFormatPr defaultColWidth="9.140625" defaultRowHeight="15" x14ac:dyDescent="0.25"/>
  <cols>
    <col min="1" max="1" width="9.140625" style="674"/>
    <col min="2" max="2" width="31.42578125" style="674" customWidth="1"/>
    <col min="3" max="10" width="11.42578125" style="674" customWidth="1"/>
    <col min="11" max="16384" width="9.140625" style="674"/>
  </cols>
  <sheetData>
    <row r="1" spans="1:12" ht="41.25" customHeight="1" x14ac:dyDescent="0.25">
      <c r="A1" s="678"/>
      <c r="B1" s="679"/>
      <c r="C1" s="680"/>
      <c r="D1" s="680"/>
      <c r="E1" s="680"/>
      <c r="F1" s="680"/>
      <c r="G1" s="680"/>
      <c r="H1" s="1135" t="s">
        <v>604</v>
      </c>
      <c r="I1" s="1135"/>
      <c r="J1" s="1135"/>
    </row>
    <row r="2" spans="1:12" ht="38.25" customHeight="1" x14ac:dyDescent="0.25">
      <c r="A2" s="1138" t="s">
        <v>583</v>
      </c>
      <c r="B2" s="1138"/>
      <c r="C2" s="1138"/>
      <c r="D2" s="1138"/>
      <c r="E2" s="1138"/>
      <c r="F2" s="1138"/>
      <c r="G2" s="1138"/>
      <c r="H2" s="1138"/>
      <c r="I2" s="1138"/>
      <c r="J2" s="1138"/>
    </row>
    <row r="3" spans="1:12" x14ac:dyDescent="0.25">
      <c r="C3" s="1136"/>
      <c r="D3" s="1136"/>
      <c r="E3" s="1137"/>
      <c r="F3" s="681"/>
      <c r="G3" s="678"/>
      <c r="H3" s="359"/>
      <c r="I3" s="359"/>
      <c r="J3" s="682" t="s">
        <v>339</v>
      </c>
    </row>
    <row r="4" spans="1:12" ht="48" x14ac:dyDescent="0.25">
      <c r="A4" s="683" t="s">
        <v>30</v>
      </c>
      <c r="B4" s="683" t="s">
        <v>31</v>
      </c>
      <c r="C4" s="684" t="s">
        <v>460</v>
      </c>
      <c r="D4" s="684" t="s">
        <v>471</v>
      </c>
      <c r="E4" s="684" t="s">
        <v>463</v>
      </c>
      <c r="F4" s="684" t="s">
        <v>464</v>
      </c>
      <c r="G4" s="684" t="s">
        <v>465</v>
      </c>
      <c r="H4" s="684" t="s">
        <v>466</v>
      </c>
      <c r="I4" s="684" t="s">
        <v>467</v>
      </c>
      <c r="J4" s="684" t="s">
        <v>472</v>
      </c>
    </row>
    <row r="5" spans="1:12" x14ac:dyDescent="0.25">
      <c r="A5" s="685" t="s">
        <v>11</v>
      </c>
      <c r="B5" s="686" t="s">
        <v>165</v>
      </c>
      <c r="C5" s="687">
        <v>240000000</v>
      </c>
      <c r="D5" s="687">
        <f>+C5+2991513</f>
        <v>242991513</v>
      </c>
      <c r="E5" s="373">
        <v>0</v>
      </c>
      <c r="F5" s="373">
        <v>0</v>
      </c>
      <c r="G5" s="373">
        <v>0</v>
      </c>
      <c r="H5" s="373">
        <v>0</v>
      </c>
      <c r="I5" s="688">
        <f>C5+E5+G5</f>
        <v>240000000</v>
      </c>
      <c r="J5" s="688">
        <f>D5+F5+H5</f>
        <v>242991513</v>
      </c>
    </row>
    <row r="6" spans="1:12" x14ac:dyDescent="0.25">
      <c r="A6" s="685" t="s">
        <v>12</v>
      </c>
      <c r="B6" s="686" t="s">
        <v>166</v>
      </c>
      <c r="C6" s="373">
        <v>1272000</v>
      </c>
      <c r="D6" s="373">
        <f>+C6</f>
        <v>1272000</v>
      </c>
      <c r="E6" s="373">
        <v>0</v>
      </c>
      <c r="F6" s="373">
        <v>0</v>
      </c>
      <c r="G6" s="373">
        <v>0</v>
      </c>
      <c r="H6" s="373">
        <v>0</v>
      </c>
      <c r="I6" s="688">
        <f t="shared" ref="I6:I16" si="0">C6+E6+G6</f>
        <v>1272000</v>
      </c>
      <c r="J6" s="688">
        <f t="shared" ref="J6:J16" si="1">D6+F6+H6</f>
        <v>1272000</v>
      </c>
    </row>
    <row r="7" spans="1:12" x14ac:dyDescent="0.25">
      <c r="A7" s="685" t="s">
        <v>13</v>
      </c>
      <c r="B7" s="686" t="s">
        <v>194</v>
      </c>
      <c r="C7" s="687">
        <v>0</v>
      </c>
      <c r="D7" s="687">
        <v>0</v>
      </c>
      <c r="E7" s="687">
        <v>0</v>
      </c>
      <c r="F7" s="687">
        <v>0</v>
      </c>
      <c r="G7" s="373">
        <v>0</v>
      </c>
      <c r="H7" s="373">
        <v>0</v>
      </c>
      <c r="I7" s="688">
        <f t="shared" si="0"/>
        <v>0</v>
      </c>
      <c r="J7" s="688">
        <f t="shared" si="1"/>
        <v>0</v>
      </c>
    </row>
    <row r="8" spans="1:12" x14ac:dyDescent="0.25">
      <c r="A8" s="685" t="s">
        <v>14</v>
      </c>
      <c r="B8" s="686" t="s">
        <v>187</v>
      </c>
      <c r="C8" s="687">
        <v>0</v>
      </c>
      <c r="D8" s="687">
        <v>0</v>
      </c>
      <c r="E8" s="687">
        <v>0</v>
      </c>
      <c r="F8" s="687">
        <v>2000000</v>
      </c>
      <c r="G8" s="373">
        <v>0</v>
      </c>
      <c r="H8" s="373">
        <v>0</v>
      </c>
      <c r="I8" s="688">
        <f t="shared" si="0"/>
        <v>0</v>
      </c>
      <c r="J8" s="688">
        <f t="shared" si="1"/>
        <v>2000000</v>
      </c>
    </row>
    <row r="9" spans="1:12" x14ac:dyDescent="0.25">
      <c r="A9" s="685" t="s">
        <v>15</v>
      </c>
      <c r="B9" s="686" t="s">
        <v>304</v>
      </c>
      <c r="C9" s="687">
        <v>0</v>
      </c>
      <c r="D9" s="687">
        <v>0</v>
      </c>
      <c r="E9" s="687">
        <v>1200000</v>
      </c>
      <c r="F9" s="687">
        <f>+E9</f>
        <v>1200000</v>
      </c>
      <c r="G9" s="687">
        <v>0</v>
      </c>
      <c r="H9" s="687">
        <v>0</v>
      </c>
      <c r="I9" s="688">
        <f t="shared" si="0"/>
        <v>1200000</v>
      </c>
      <c r="J9" s="688">
        <f t="shared" si="1"/>
        <v>1200000</v>
      </c>
    </row>
    <row r="10" spans="1:12" x14ac:dyDescent="0.25">
      <c r="A10" s="1025" t="s">
        <v>16</v>
      </c>
      <c r="B10" s="1026" t="s">
        <v>283</v>
      </c>
      <c r="C10" s="373">
        <v>0</v>
      </c>
      <c r="D10" s="373">
        <v>0</v>
      </c>
      <c r="E10" s="687">
        <v>0</v>
      </c>
      <c r="F10" s="687">
        <v>200000</v>
      </c>
      <c r="G10" s="779">
        <v>0</v>
      </c>
      <c r="H10" s="779">
        <v>0</v>
      </c>
      <c r="I10" s="688">
        <f t="shared" si="0"/>
        <v>0</v>
      </c>
      <c r="J10" s="688">
        <f t="shared" si="1"/>
        <v>200000</v>
      </c>
      <c r="L10" s="780" t="s">
        <v>600</v>
      </c>
    </row>
    <row r="11" spans="1:12" x14ac:dyDescent="0.25">
      <c r="A11" s="685" t="s">
        <v>17</v>
      </c>
      <c r="B11" s="686" t="s">
        <v>305</v>
      </c>
      <c r="C11" s="373">
        <v>0</v>
      </c>
      <c r="D11" s="373">
        <v>0</v>
      </c>
      <c r="E11" s="687">
        <v>0</v>
      </c>
      <c r="F11" s="687">
        <v>0</v>
      </c>
      <c r="G11" s="373">
        <v>0</v>
      </c>
      <c r="H11" s="373">
        <v>0</v>
      </c>
      <c r="I11" s="688">
        <f t="shared" si="0"/>
        <v>0</v>
      </c>
      <c r="J11" s="688">
        <f t="shared" si="1"/>
        <v>0</v>
      </c>
    </row>
    <row r="12" spans="1:12" ht="22.5" x14ac:dyDescent="0.25">
      <c r="A12" s="685" t="s">
        <v>18</v>
      </c>
      <c r="B12" s="686" t="s">
        <v>517</v>
      </c>
      <c r="C12" s="373">
        <v>0</v>
      </c>
      <c r="D12" s="373">
        <v>0</v>
      </c>
      <c r="E12" s="687">
        <v>27000000</v>
      </c>
      <c r="F12" s="687">
        <f>+E12</f>
        <v>27000000</v>
      </c>
      <c r="G12" s="373">
        <v>0</v>
      </c>
      <c r="H12" s="373">
        <v>0</v>
      </c>
      <c r="I12" s="688">
        <f t="shared" si="0"/>
        <v>27000000</v>
      </c>
      <c r="J12" s="688">
        <f t="shared" si="1"/>
        <v>27000000</v>
      </c>
    </row>
    <row r="13" spans="1:12" x14ac:dyDescent="0.25">
      <c r="A13" s="685" t="s">
        <v>19</v>
      </c>
      <c r="B13" s="686" t="s">
        <v>306</v>
      </c>
      <c r="C13" s="373">
        <v>0</v>
      </c>
      <c r="D13" s="373">
        <v>0</v>
      </c>
      <c r="E13" s="687">
        <v>12192000</v>
      </c>
      <c r="F13" s="687">
        <f>+E13</f>
        <v>12192000</v>
      </c>
      <c r="G13" s="373">
        <v>0</v>
      </c>
      <c r="H13" s="373">
        <v>0</v>
      </c>
      <c r="I13" s="688">
        <f t="shared" si="0"/>
        <v>12192000</v>
      </c>
      <c r="J13" s="688">
        <f t="shared" si="1"/>
        <v>12192000</v>
      </c>
    </row>
    <row r="14" spans="1:12" x14ac:dyDescent="0.25">
      <c r="A14" s="685" t="s">
        <v>20</v>
      </c>
      <c r="B14" s="686" t="s">
        <v>678</v>
      </c>
      <c r="C14" s="373">
        <v>0</v>
      </c>
      <c r="D14" s="373">
        <v>0</v>
      </c>
      <c r="E14" s="687">
        <v>0</v>
      </c>
      <c r="F14" s="687">
        <v>950000</v>
      </c>
      <c r="G14" s="373">
        <v>0</v>
      </c>
      <c r="H14" s="373">
        <v>0</v>
      </c>
      <c r="I14" s="688">
        <f t="shared" si="0"/>
        <v>0</v>
      </c>
      <c r="J14" s="688">
        <f t="shared" si="1"/>
        <v>950000</v>
      </c>
    </row>
    <row r="15" spans="1:12" x14ac:dyDescent="0.25">
      <c r="A15" s="685" t="s">
        <v>21</v>
      </c>
      <c r="B15" s="686" t="s">
        <v>679</v>
      </c>
      <c r="C15" s="373">
        <v>0</v>
      </c>
      <c r="D15" s="373">
        <v>0</v>
      </c>
      <c r="E15" s="687">
        <v>0</v>
      </c>
      <c r="F15" s="687">
        <v>950000</v>
      </c>
      <c r="G15" s="373">
        <v>0</v>
      </c>
      <c r="H15" s="373">
        <v>0</v>
      </c>
      <c r="I15" s="688">
        <f t="shared" si="0"/>
        <v>0</v>
      </c>
      <c r="J15" s="688">
        <f t="shared" si="1"/>
        <v>950000</v>
      </c>
    </row>
    <row r="16" spans="1:12" x14ac:dyDescent="0.25">
      <c r="A16" s="685" t="s">
        <v>22</v>
      </c>
      <c r="B16" s="686" t="s">
        <v>680</v>
      </c>
      <c r="C16" s="373">
        <v>0</v>
      </c>
      <c r="D16" s="373">
        <v>0</v>
      </c>
      <c r="E16" s="687">
        <v>0</v>
      </c>
      <c r="F16" s="687">
        <v>100000</v>
      </c>
      <c r="G16" s="373">
        <v>0</v>
      </c>
      <c r="H16" s="373">
        <v>0</v>
      </c>
      <c r="I16" s="688">
        <f t="shared" si="0"/>
        <v>0</v>
      </c>
      <c r="J16" s="688">
        <f t="shared" si="1"/>
        <v>100000</v>
      </c>
    </row>
    <row r="17" spans="1:11" x14ac:dyDescent="0.25">
      <c r="A17" s="685" t="s">
        <v>23</v>
      </c>
      <c r="B17" s="689" t="s">
        <v>0</v>
      </c>
      <c r="C17" s="688">
        <f>SUM(C5:C16)</f>
        <v>241272000</v>
      </c>
      <c r="D17" s="688">
        <f t="shared" ref="D17:H17" si="2">SUM(D5:D16)</f>
        <v>244263513</v>
      </c>
      <c r="E17" s="688">
        <f t="shared" si="2"/>
        <v>40392000</v>
      </c>
      <c r="F17" s="688">
        <f t="shared" si="2"/>
        <v>44592000</v>
      </c>
      <c r="G17" s="688">
        <f t="shared" si="2"/>
        <v>0</v>
      </c>
      <c r="H17" s="688">
        <f t="shared" si="2"/>
        <v>0</v>
      </c>
      <c r="I17" s="688">
        <f>SUM(I5:I16)</f>
        <v>281664000</v>
      </c>
      <c r="J17" s="688">
        <f>SUM(J5:J16)</f>
        <v>288855513</v>
      </c>
    </row>
    <row r="18" spans="1:11" x14ac:dyDescent="0.25">
      <c r="A18" s="524"/>
      <c r="B18" s="690"/>
      <c r="C18" s="690"/>
      <c r="D18" s="690"/>
      <c r="E18" s="574"/>
      <c r="F18" s="574"/>
      <c r="G18" s="524"/>
      <c r="H18" s="524"/>
      <c r="I18" s="524"/>
      <c r="J18" s="393">
        <v>0</v>
      </c>
      <c r="K18" s="704"/>
    </row>
    <row r="19" spans="1:11" x14ac:dyDescent="0.25">
      <c r="A19" s="524"/>
      <c r="B19" s="690"/>
      <c r="C19" s="690"/>
      <c r="D19" s="690"/>
      <c r="E19" s="574"/>
      <c r="F19" s="574"/>
      <c r="G19" s="524"/>
      <c r="H19" s="524"/>
      <c r="I19" s="524"/>
      <c r="J19" s="530"/>
      <c r="K19" s="704"/>
    </row>
    <row r="20" spans="1:11" x14ac:dyDescent="0.25">
      <c r="A20" s="704"/>
      <c r="B20" s="1024"/>
      <c r="C20" s="704"/>
      <c r="D20" s="704"/>
      <c r="E20" s="704"/>
      <c r="F20" s="704"/>
      <c r="G20" s="704"/>
      <c r="H20" s="704"/>
      <c r="I20" s="704"/>
      <c r="J20" s="704"/>
      <c r="K20" s="704"/>
    </row>
    <row r="21" spans="1:11" x14ac:dyDescent="0.25">
      <c r="A21" s="704"/>
      <c r="B21" s="704"/>
      <c r="C21" s="704"/>
      <c r="D21" s="704"/>
      <c r="E21" s="704"/>
      <c r="F21" s="704"/>
      <c r="G21" s="704"/>
      <c r="H21" s="704"/>
      <c r="I21" s="704"/>
      <c r="J21" s="704"/>
      <c r="K21" s="704"/>
    </row>
    <row r="22" spans="1:11" x14ac:dyDescent="0.25">
      <c r="A22" s="704"/>
      <c r="B22" s="704"/>
      <c r="C22" s="704"/>
      <c r="D22" s="704"/>
      <c r="E22" s="704"/>
      <c r="F22" s="704"/>
      <c r="G22" s="704"/>
      <c r="H22" s="704"/>
      <c r="I22" s="704"/>
      <c r="J22" s="704"/>
      <c r="K22" s="704"/>
    </row>
    <row r="23" spans="1:11" x14ac:dyDescent="0.25">
      <c r="A23" s="704"/>
      <c r="B23" s="704"/>
      <c r="C23" s="704"/>
      <c r="D23" s="704"/>
      <c r="E23" s="704"/>
      <c r="F23" s="704"/>
      <c r="G23" s="704"/>
      <c r="H23" s="704"/>
      <c r="I23" s="704"/>
      <c r="J23" s="704"/>
      <c r="K23" s="704"/>
    </row>
    <row r="24" spans="1:11" x14ac:dyDescent="0.25">
      <c r="A24" s="704"/>
      <c r="B24" s="704"/>
      <c r="C24" s="704"/>
      <c r="D24" s="704"/>
      <c r="E24" s="704"/>
      <c r="F24" s="704"/>
      <c r="G24" s="704"/>
      <c r="H24" s="704"/>
      <c r="I24" s="704"/>
      <c r="J24" s="704"/>
      <c r="K24" s="704"/>
    </row>
  </sheetData>
  <mergeCells count="3">
    <mergeCell ref="H1:J1"/>
    <mergeCell ref="C3:E3"/>
    <mergeCell ref="A2:J2"/>
  </mergeCells>
  <phoneticPr fontId="31" type="noConversion"/>
  <printOptions horizontalCentered="1"/>
  <pageMargins left="0.19" right="0.17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F46"/>
  <sheetViews>
    <sheetView view="pageBreakPreview" zoomScale="115" zoomScaleNormal="100" zoomScaleSheetLayoutView="115" workbookViewId="0">
      <selection activeCell="C16" sqref="C16"/>
    </sheetView>
  </sheetViews>
  <sheetFormatPr defaultColWidth="9.140625" defaultRowHeight="15" x14ac:dyDescent="0.25"/>
  <cols>
    <col min="1" max="1" width="14.7109375" style="674" customWidth="1"/>
    <col min="2" max="2" width="10.28515625" style="674" customWidth="1"/>
    <col min="3" max="3" width="34.7109375" style="674" customWidth="1"/>
    <col min="4" max="4" width="17" style="674" customWidth="1"/>
    <col min="5" max="5" width="18.28515625" style="674" customWidth="1"/>
    <col min="6" max="6" width="17.7109375" style="674" customWidth="1"/>
    <col min="7" max="7" width="35.7109375" style="674" customWidth="1"/>
    <col min="8" max="16384" width="9.140625" style="674"/>
  </cols>
  <sheetData>
    <row r="1" spans="1:6" ht="36" customHeight="1" x14ac:dyDescent="0.25">
      <c r="A1" s="691"/>
      <c r="B1" s="566"/>
      <c r="E1" s="1086" t="s">
        <v>605</v>
      </c>
      <c r="F1" s="1086"/>
    </row>
    <row r="2" spans="1:6" ht="29.25" customHeight="1" x14ac:dyDescent="0.25">
      <c r="B2" s="1139" t="s">
        <v>519</v>
      </c>
      <c r="C2" s="1139"/>
      <c r="D2" s="1139"/>
      <c r="E2" s="1139"/>
      <c r="F2" s="1139"/>
    </row>
    <row r="3" spans="1:6" x14ac:dyDescent="0.25">
      <c r="A3" s="570"/>
      <c r="F3" s="692" t="s">
        <v>339</v>
      </c>
    </row>
    <row r="4" spans="1:6" x14ac:dyDescent="0.25">
      <c r="A4" s="693"/>
      <c r="B4" s="683" t="s">
        <v>39</v>
      </c>
      <c r="C4" s="683" t="s">
        <v>40</v>
      </c>
      <c r="D4" s="683" t="s">
        <v>34</v>
      </c>
      <c r="E4" s="683" t="s">
        <v>35</v>
      </c>
      <c r="F4" s="683" t="s">
        <v>36</v>
      </c>
    </row>
    <row r="5" spans="1:6" x14ac:dyDescent="0.25">
      <c r="A5" s="570"/>
      <c r="B5" s="694" t="s">
        <v>11</v>
      </c>
      <c r="C5" s="560" t="s">
        <v>362</v>
      </c>
      <c r="D5" s="342">
        <v>46152000</v>
      </c>
      <c r="E5" s="389">
        <v>10879054.633333333</v>
      </c>
      <c r="F5" s="342">
        <f>SUM(D5:E5)</f>
        <v>57031054.633333333</v>
      </c>
    </row>
    <row r="6" spans="1:6" x14ac:dyDescent="0.25">
      <c r="A6" s="570"/>
      <c r="B6" s="694" t="s">
        <v>12</v>
      </c>
      <c r="C6" s="560" t="s">
        <v>361</v>
      </c>
      <c r="D6" s="342">
        <v>31824000</v>
      </c>
      <c r="E6" s="389">
        <v>6749841.7799999993</v>
      </c>
      <c r="F6" s="342">
        <f>SUM(D6:E6)</f>
        <v>38573841.780000001</v>
      </c>
    </row>
    <row r="7" spans="1:6" x14ac:dyDescent="0.25">
      <c r="A7" s="570"/>
      <c r="B7" s="694"/>
      <c r="C7" s="560"/>
      <c r="D7" s="342"/>
      <c r="E7" s="695"/>
      <c r="F7" s="342"/>
    </row>
    <row r="8" spans="1:6" x14ac:dyDescent="0.25">
      <c r="A8" s="570"/>
      <c r="B8" s="694"/>
      <c r="C8" s="560"/>
      <c r="D8" s="342"/>
      <c r="E8" s="695"/>
      <c r="F8" s="342"/>
    </row>
    <row r="9" spans="1:6" x14ac:dyDescent="0.25">
      <c r="A9" s="570"/>
      <c r="B9" s="694"/>
      <c r="C9" s="560"/>
      <c r="D9" s="342"/>
      <c r="E9" s="342"/>
      <c r="F9" s="342"/>
    </row>
    <row r="10" spans="1:6" x14ac:dyDescent="0.25">
      <c r="A10" s="570"/>
      <c r="B10" s="694" t="s">
        <v>48</v>
      </c>
      <c r="C10" s="560"/>
      <c r="D10" s="342"/>
      <c r="E10" s="342"/>
      <c r="F10" s="342"/>
    </row>
    <row r="11" spans="1:6" x14ac:dyDescent="0.25">
      <c r="A11" s="570"/>
      <c r="B11" s="696"/>
      <c r="C11" s="697" t="s">
        <v>0</v>
      </c>
      <c r="D11" s="341">
        <f>SUM(D5:D10)</f>
        <v>77976000</v>
      </c>
      <c r="E11" s="341">
        <f>SUM(E5:E10)</f>
        <v>17628896.413333334</v>
      </c>
      <c r="F11" s="341">
        <f>SUM(F5:F10)</f>
        <v>95604896.413333327</v>
      </c>
    </row>
    <row r="12" spans="1:6" x14ac:dyDescent="0.25">
      <c r="A12" s="570"/>
      <c r="B12" s="698"/>
      <c r="C12" s="574"/>
      <c r="D12" s="699"/>
      <c r="E12" s="765"/>
      <c r="F12" s="699"/>
    </row>
    <row r="13" spans="1:6" x14ac:dyDescent="0.25">
      <c r="A13" s="700"/>
      <c r="E13" s="766"/>
    </row>
    <row r="14" spans="1:6" x14ac:dyDescent="0.25">
      <c r="A14" s="701"/>
      <c r="E14" s="766"/>
    </row>
    <row r="15" spans="1:6" x14ac:dyDescent="0.25">
      <c r="A15" s="701"/>
    </row>
    <row r="16" spans="1:6" x14ac:dyDescent="0.25">
      <c r="A16" s="701"/>
      <c r="F16" s="702"/>
    </row>
    <row r="17" spans="1:6" x14ac:dyDescent="0.25">
      <c r="A17" s="701"/>
      <c r="E17" s="767"/>
      <c r="F17" s="703"/>
    </row>
    <row r="18" spans="1:6" x14ac:dyDescent="0.25">
      <c r="A18" s="704"/>
    </row>
    <row r="19" spans="1:6" x14ac:dyDescent="0.25">
      <c r="A19" s="701"/>
    </row>
    <row r="20" spans="1:6" x14ac:dyDescent="0.25">
      <c r="A20" s="701"/>
    </row>
    <row r="21" spans="1:6" x14ac:dyDescent="0.25">
      <c r="A21" s="701"/>
    </row>
    <row r="22" spans="1:6" x14ac:dyDescent="0.25">
      <c r="A22" s="701"/>
    </row>
    <row r="23" spans="1:6" x14ac:dyDescent="0.25">
      <c r="A23" s="701"/>
    </row>
    <row r="24" spans="1:6" x14ac:dyDescent="0.25">
      <c r="A24" s="705"/>
    </row>
    <row r="25" spans="1:6" x14ac:dyDescent="0.25">
      <c r="A25" s="705"/>
    </row>
    <row r="26" spans="1:6" x14ac:dyDescent="0.25">
      <c r="A26" s="705"/>
    </row>
    <row r="27" spans="1:6" x14ac:dyDescent="0.25">
      <c r="A27" s="705"/>
    </row>
    <row r="28" spans="1:6" x14ac:dyDescent="0.25">
      <c r="A28" s="705"/>
    </row>
    <row r="29" spans="1:6" x14ac:dyDescent="0.25">
      <c r="A29" s="704"/>
    </row>
    <row r="30" spans="1:6" x14ac:dyDescent="0.25">
      <c r="A30" s="704"/>
    </row>
    <row r="31" spans="1:6" x14ac:dyDescent="0.25">
      <c r="A31" s="570"/>
    </row>
    <row r="32" spans="1:6" x14ac:dyDescent="0.25">
      <c r="A32" s="704"/>
    </row>
    <row r="33" spans="1:3" x14ac:dyDescent="0.25">
      <c r="A33" s="704"/>
      <c r="B33" s="706"/>
      <c r="C33" s="704"/>
    </row>
    <row r="34" spans="1:3" x14ac:dyDescent="0.25">
      <c r="A34" s="700"/>
      <c r="B34" s="704"/>
      <c r="C34" s="704"/>
    </row>
    <row r="35" spans="1:3" x14ac:dyDescent="0.25">
      <c r="A35" s="707"/>
    </row>
    <row r="36" spans="1:3" x14ac:dyDescent="0.25">
      <c r="A36" s="699"/>
    </row>
    <row r="37" spans="1:3" x14ac:dyDescent="0.25">
      <c r="A37" s="699"/>
    </row>
    <row r="38" spans="1:3" x14ac:dyDescent="0.25">
      <c r="A38" s="699"/>
    </row>
    <row r="39" spans="1:3" x14ac:dyDescent="0.25">
      <c r="A39" s="699"/>
    </row>
    <row r="40" spans="1:3" x14ac:dyDescent="0.25">
      <c r="A40" s="699"/>
    </row>
    <row r="41" spans="1:3" x14ac:dyDescent="0.25">
      <c r="A41" s="699"/>
    </row>
    <row r="42" spans="1:3" x14ac:dyDescent="0.25">
      <c r="A42" s="699"/>
    </row>
    <row r="43" spans="1:3" x14ac:dyDescent="0.25">
      <c r="A43" s="708"/>
    </row>
    <row r="44" spans="1:3" x14ac:dyDescent="0.25">
      <c r="A44" s="704"/>
    </row>
    <row r="45" spans="1:3" x14ac:dyDescent="0.25">
      <c r="A45" s="704"/>
    </row>
    <row r="46" spans="1:3" x14ac:dyDescent="0.25">
      <c r="A46" s="704"/>
    </row>
  </sheetData>
  <mergeCells count="2">
    <mergeCell ref="E1:F1"/>
    <mergeCell ref="B2:F2"/>
  </mergeCells>
  <printOptions horizontalCentered="1"/>
  <pageMargins left="0.51" right="0.54" top="0.74803149606299213" bottom="0.74803149606299213" header="0.31496062992125984" footer="0.31496062992125984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E26"/>
  <sheetViews>
    <sheetView view="pageBreakPreview" zoomScale="115" zoomScaleNormal="80" zoomScaleSheetLayoutView="115" workbookViewId="0">
      <selection activeCell="A2" sqref="A2:D2"/>
    </sheetView>
  </sheetViews>
  <sheetFormatPr defaultColWidth="9.28515625" defaultRowHeight="11.25" x14ac:dyDescent="0.2"/>
  <cols>
    <col min="1" max="1" width="7.28515625" style="344" customWidth="1"/>
    <col min="2" max="2" width="35.5703125" style="344" customWidth="1"/>
    <col min="3" max="3" width="13.7109375" style="344" customWidth="1"/>
    <col min="4" max="4" width="20.28515625" style="344" customWidth="1"/>
    <col min="5" max="10" width="9.28515625" style="344"/>
    <col min="11" max="12" width="17.42578125" style="344" bestFit="1" customWidth="1"/>
    <col min="13" max="16384" width="9.28515625" style="344"/>
  </cols>
  <sheetData>
    <row r="1" spans="1:5" ht="39.75" customHeight="1" x14ac:dyDescent="0.2">
      <c r="A1" s="566"/>
      <c r="C1" s="1086" t="s">
        <v>606</v>
      </c>
      <c r="D1" s="1086"/>
      <c r="E1" s="370"/>
    </row>
    <row r="2" spans="1:5" ht="36.75" customHeight="1" x14ac:dyDescent="0.2">
      <c r="A2" s="1094" t="s">
        <v>586</v>
      </c>
      <c r="B2" s="1094"/>
      <c r="C2" s="1094"/>
      <c r="D2" s="1094"/>
      <c r="E2" s="370"/>
    </row>
    <row r="3" spans="1:5" ht="15" customHeight="1" x14ac:dyDescent="0.2">
      <c r="A3" s="567"/>
      <c r="C3" s="468"/>
      <c r="D3" s="370"/>
      <c r="E3" s="370"/>
    </row>
    <row r="4" spans="1:5" s="568" customFormat="1" ht="56.25" customHeight="1" x14ac:dyDescent="0.25">
      <c r="A4" s="551" t="s">
        <v>30</v>
      </c>
      <c r="B4" s="551" t="s">
        <v>31</v>
      </c>
      <c r="C4" s="551" t="s">
        <v>458</v>
      </c>
      <c r="D4" s="551" t="s">
        <v>585</v>
      </c>
    </row>
    <row r="5" spans="1:5" x14ac:dyDescent="0.2">
      <c r="A5" s="343" t="s">
        <v>11</v>
      </c>
      <c r="B5" s="689" t="s">
        <v>59</v>
      </c>
      <c r="C5" s="553">
        <f>SUM(C6:C9)</f>
        <v>10</v>
      </c>
      <c r="D5" s="554"/>
    </row>
    <row r="6" spans="1:5" x14ac:dyDescent="0.2">
      <c r="A6" s="343"/>
      <c r="B6" s="709" t="s">
        <v>65</v>
      </c>
      <c r="C6" s="555">
        <v>1</v>
      </c>
      <c r="D6" s="556"/>
    </row>
    <row r="7" spans="1:5" x14ac:dyDescent="0.2">
      <c r="A7" s="343"/>
      <c r="B7" s="709" t="s">
        <v>309</v>
      </c>
      <c r="C7" s="555">
        <v>1</v>
      </c>
      <c r="D7" s="556"/>
    </row>
    <row r="8" spans="1:5" x14ac:dyDescent="0.2">
      <c r="A8" s="343"/>
      <c r="B8" s="709" t="s">
        <v>457</v>
      </c>
      <c r="C8" s="555">
        <v>7</v>
      </c>
      <c r="D8" s="557" t="s">
        <v>570</v>
      </c>
    </row>
    <row r="9" spans="1:5" ht="22.5" x14ac:dyDescent="0.2">
      <c r="A9" s="343"/>
      <c r="B9" s="709" t="s">
        <v>64</v>
      </c>
      <c r="C9" s="610">
        <v>1</v>
      </c>
      <c r="D9" s="606" t="s">
        <v>573</v>
      </c>
    </row>
    <row r="10" spans="1:5" x14ac:dyDescent="0.2">
      <c r="A10" s="558" t="s">
        <v>12</v>
      </c>
      <c r="B10" s="689" t="s">
        <v>3</v>
      </c>
      <c r="C10" s="553">
        <v>53</v>
      </c>
      <c r="D10" s="559" t="s">
        <v>518</v>
      </c>
    </row>
    <row r="11" spans="1:5" x14ac:dyDescent="0.2">
      <c r="A11" s="558" t="s">
        <v>13</v>
      </c>
      <c r="B11" s="689" t="s">
        <v>60</v>
      </c>
      <c r="C11" s="553">
        <v>15</v>
      </c>
      <c r="D11" s="552"/>
    </row>
    <row r="12" spans="1:5" x14ac:dyDescent="0.2">
      <c r="A12" s="558">
        <v>8</v>
      </c>
      <c r="B12" s="689" t="s">
        <v>188</v>
      </c>
      <c r="C12" s="553">
        <v>30</v>
      </c>
      <c r="D12" s="552"/>
    </row>
    <row r="13" spans="1:5" x14ac:dyDescent="0.2">
      <c r="A13" s="558" t="s">
        <v>14</v>
      </c>
      <c r="B13" s="689" t="s">
        <v>215</v>
      </c>
      <c r="C13" s="553">
        <v>42.5</v>
      </c>
      <c r="D13" s="552"/>
    </row>
    <row r="14" spans="1:5" x14ac:dyDescent="0.2">
      <c r="A14" s="558"/>
      <c r="B14" s="689" t="s">
        <v>571</v>
      </c>
      <c r="C14" s="555">
        <v>1</v>
      </c>
      <c r="D14" s="560"/>
    </row>
    <row r="15" spans="1:5" x14ac:dyDescent="0.2">
      <c r="A15" s="558" t="s">
        <v>15</v>
      </c>
      <c r="B15" s="689" t="s">
        <v>61</v>
      </c>
      <c r="C15" s="553">
        <v>30</v>
      </c>
      <c r="D15" s="552"/>
    </row>
    <row r="16" spans="1:5" x14ac:dyDescent="0.2">
      <c r="A16" s="558"/>
      <c r="B16" s="689" t="s">
        <v>572</v>
      </c>
      <c r="C16" s="555">
        <v>1</v>
      </c>
      <c r="D16" s="560"/>
    </row>
    <row r="17" spans="1:4" x14ac:dyDescent="0.2">
      <c r="A17" s="558" t="s">
        <v>16</v>
      </c>
      <c r="B17" s="689" t="s">
        <v>168</v>
      </c>
      <c r="C17" s="553">
        <v>5</v>
      </c>
      <c r="D17" s="552"/>
    </row>
    <row r="18" spans="1:4" x14ac:dyDescent="0.2">
      <c r="A18" s="558" t="s">
        <v>17</v>
      </c>
      <c r="B18" s="689" t="s">
        <v>62</v>
      </c>
      <c r="C18" s="553">
        <v>6</v>
      </c>
      <c r="D18" s="561"/>
    </row>
    <row r="19" spans="1:4" s="382" customFormat="1" ht="67.5" x14ac:dyDescent="0.25">
      <c r="A19" s="604" t="s">
        <v>19</v>
      </c>
      <c r="B19" s="689" t="s">
        <v>470</v>
      </c>
      <c r="C19" s="611">
        <f>15+3+2</f>
        <v>20</v>
      </c>
      <c r="D19" s="606" t="s">
        <v>584</v>
      </c>
    </row>
    <row r="20" spans="1:4" x14ac:dyDescent="0.2">
      <c r="A20" s="612" t="s">
        <v>186</v>
      </c>
      <c r="C20" s="562">
        <f>SUM(C10:C19)+C5</f>
        <v>213.5</v>
      </c>
      <c r="D20" s="563"/>
    </row>
    <row r="21" spans="1:4" x14ac:dyDescent="0.2">
      <c r="A21" s="565"/>
      <c r="B21" s="563"/>
      <c r="C21" s="564"/>
      <c r="D21" s="565"/>
    </row>
    <row r="22" spans="1:4" x14ac:dyDescent="0.2">
      <c r="A22" s="565"/>
      <c r="B22" s="563"/>
      <c r="C22" s="564"/>
      <c r="D22" s="565"/>
    </row>
    <row r="23" spans="1:4" x14ac:dyDescent="0.2">
      <c r="A23" s="565"/>
      <c r="B23" s="565"/>
      <c r="C23" s="565"/>
      <c r="D23" s="565"/>
    </row>
    <row r="24" spans="1:4" x14ac:dyDescent="0.2">
      <c r="A24" s="565"/>
      <c r="B24" s="565"/>
      <c r="C24" s="565"/>
      <c r="D24" s="565"/>
    </row>
    <row r="25" spans="1:4" x14ac:dyDescent="0.2">
      <c r="A25" s="565"/>
      <c r="B25" s="565"/>
      <c r="C25" s="565"/>
      <c r="D25" s="565"/>
    </row>
    <row r="26" spans="1:4" x14ac:dyDescent="0.2">
      <c r="A26" s="565"/>
      <c r="B26" s="565"/>
      <c r="C26" s="565"/>
      <c r="D26" s="565"/>
    </row>
  </sheetData>
  <mergeCells count="2">
    <mergeCell ref="C1:D1"/>
    <mergeCell ref="A2:D2"/>
  </mergeCells>
  <phoneticPr fontId="3" type="noConversion"/>
  <printOptions horizontalCentered="1"/>
  <pageMargins left="0.43307086614173229" right="0.39370078740157483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F43"/>
  <sheetViews>
    <sheetView workbookViewId="0">
      <selection activeCell="F16" sqref="A1:F16"/>
    </sheetView>
  </sheetViews>
  <sheetFormatPr defaultColWidth="9.140625" defaultRowHeight="15" x14ac:dyDescent="0.25"/>
  <cols>
    <col min="1" max="1" width="9.140625" style="674"/>
    <col min="2" max="2" width="49" style="674" customWidth="1"/>
    <col min="3" max="3" width="12" style="674" customWidth="1"/>
    <col min="4" max="4" width="9.140625" style="674"/>
    <col min="5" max="5" width="9.85546875" style="674" customWidth="1"/>
    <col min="6" max="6" width="11.42578125" style="674" customWidth="1"/>
    <col min="7" max="16384" width="9.140625" style="674"/>
  </cols>
  <sheetData>
    <row r="1" spans="1:6" ht="24" customHeight="1" x14ac:dyDescent="0.25">
      <c r="A1" s="678"/>
      <c r="B1" s="678"/>
      <c r="C1" s="678"/>
      <c r="D1" s="1086" t="s">
        <v>607</v>
      </c>
      <c r="E1" s="1086"/>
      <c r="F1" s="1086"/>
    </row>
    <row r="2" spans="1:6" ht="24" customHeight="1" x14ac:dyDescent="0.25">
      <c r="A2" s="710"/>
      <c r="B2" s="711"/>
      <c r="C2" s="712"/>
      <c r="D2" s="1086"/>
      <c r="E2" s="1086"/>
      <c r="F2" s="1086"/>
    </row>
    <row r="3" spans="1:6" ht="24.75" customHeight="1" x14ac:dyDescent="0.25">
      <c r="A3" s="1139" t="s">
        <v>587</v>
      </c>
      <c r="B3" s="1139"/>
      <c r="C3" s="1139"/>
      <c r="D3" s="1139"/>
      <c r="E3" s="1139"/>
      <c r="F3" s="1139"/>
    </row>
    <row r="4" spans="1:6" x14ac:dyDescent="0.25">
      <c r="A4" s="713"/>
      <c r="B4" s="714"/>
      <c r="C4" s="714"/>
      <c r="D4" s="715"/>
      <c r="E4" s="715"/>
      <c r="F4" s="715"/>
    </row>
    <row r="5" spans="1:6" x14ac:dyDescent="0.25">
      <c r="A5" s="716"/>
      <c r="B5" s="716"/>
      <c r="C5" s="712"/>
      <c r="D5" s="681"/>
      <c r="E5" s="1140" t="s">
        <v>339</v>
      </c>
      <c r="F5" s="1140"/>
    </row>
    <row r="6" spans="1:6" ht="31.5" x14ac:dyDescent="0.25">
      <c r="A6" s="683" t="s">
        <v>30</v>
      </c>
      <c r="B6" s="683" t="s">
        <v>31</v>
      </c>
      <c r="C6" s="340" t="s">
        <v>183</v>
      </c>
      <c r="D6" s="340" t="s">
        <v>184</v>
      </c>
      <c r="E6" s="340" t="s">
        <v>185</v>
      </c>
      <c r="F6" s="717" t="s">
        <v>0</v>
      </c>
    </row>
    <row r="7" spans="1:6" ht="24.75" customHeight="1" x14ac:dyDescent="0.25">
      <c r="A7" s="387" t="s">
        <v>11</v>
      </c>
      <c r="B7" s="718" t="s">
        <v>196</v>
      </c>
      <c r="C7" s="719">
        <v>0</v>
      </c>
      <c r="D7" s="391">
        <v>0</v>
      </c>
      <c r="E7" s="391">
        <v>0</v>
      </c>
      <c r="F7" s="391">
        <v>0</v>
      </c>
    </row>
    <row r="8" spans="1:6" ht="24.75" customHeight="1" x14ac:dyDescent="0.25">
      <c r="A8" s="395" t="s">
        <v>53</v>
      </c>
      <c r="B8" s="720" t="s">
        <v>198</v>
      </c>
      <c r="C8" s="721">
        <v>0</v>
      </c>
      <c r="D8" s="389">
        <v>0</v>
      </c>
      <c r="E8" s="389">
        <v>0</v>
      </c>
      <c r="F8" s="391">
        <v>0</v>
      </c>
    </row>
    <row r="9" spans="1:6" ht="24.75" customHeight="1" x14ac:dyDescent="0.25">
      <c r="A9" s="395" t="s">
        <v>54</v>
      </c>
      <c r="B9" s="720" t="s">
        <v>197</v>
      </c>
      <c r="C9" s="721">
        <v>0</v>
      </c>
      <c r="D9" s="389">
        <v>0</v>
      </c>
      <c r="E9" s="389">
        <v>0</v>
      </c>
      <c r="F9" s="391">
        <v>0</v>
      </c>
    </row>
    <row r="10" spans="1:6" ht="24.75" customHeight="1" x14ac:dyDescent="0.25">
      <c r="A10" s="395" t="s">
        <v>55</v>
      </c>
      <c r="B10" s="720" t="s">
        <v>199</v>
      </c>
      <c r="C10" s="721">
        <v>0</v>
      </c>
      <c r="D10" s="389">
        <v>0</v>
      </c>
      <c r="E10" s="389">
        <v>0</v>
      </c>
      <c r="F10" s="391">
        <v>0</v>
      </c>
    </row>
    <row r="11" spans="1:6" ht="24.75" customHeight="1" x14ac:dyDescent="0.25">
      <c r="A11" s="395" t="s">
        <v>56</v>
      </c>
      <c r="B11" s="720" t="s">
        <v>200</v>
      </c>
      <c r="C11" s="721">
        <v>0</v>
      </c>
      <c r="D11" s="389">
        <v>0</v>
      </c>
      <c r="E11" s="389">
        <v>0</v>
      </c>
      <c r="F11" s="391">
        <v>0</v>
      </c>
    </row>
    <row r="12" spans="1:6" ht="24.75" customHeight="1" x14ac:dyDescent="0.25">
      <c r="A12" s="387" t="s">
        <v>12</v>
      </c>
      <c r="B12" s="605" t="s">
        <v>51</v>
      </c>
      <c r="C12" s="391">
        <f>SUM(C13:C15)</f>
        <v>313444000</v>
      </c>
      <c r="D12" s="391">
        <v>0</v>
      </c>
      <c r="E12" s="391">
        <v>0</v>
      </c>
      <c r="F12" s="391">
        <f t="shared" ref="F12:F15" si="0">SUM(C12:E12)</f>
        <v>313444000</v>
      </c>
    </row>
    <row r="13" spans="1:6" ht="24.75" customHeight="1" x14ac:dyDescent="0.25">
      <c r="A13" s="395" t="s">
        <v>49</v>
      </c>
      <c r="B13" s="720" t="s">
        <v>336</v>
      </c>
      <c r="C13" s="391">
        <v>5078000</v>
      </c>
      <c r="D13" s="389">
        <v>0</v>
      </c>
      <c r="E13" s="389">
        <v>0</v>
      </c>
      <c r="F13" s="391">
        <f t="shared" si="0"/>
        <v>5078000</v>
      </c>
    </row>
    <row r="14" spans="1:6" ht="24.75" customHeight="1" x14ac:dyDescent="0.25">
      <c r="A14" s="395" t="s">
        <v>50</v>
      </c>
      <c r="B14" s="722" t="s">
        <v>52</v>
      </c>
      <c r="C14" s="391">
        <v>299208000</v>
      </c>
      <c r="D14" s="389">
        <v>0</v>
      </c>
      <c r="E14" s="389">
        <v>0</v>
      </c>
      <c r="F14" s="391">
        <f t="shared" si="0"/>
        <v>299208000</v>
      </c>
    </row>
    <row r="15" spans="1:6" ht="24.75" customHeight="1" x14ac:dyDescent="0.25">
      <c r="A15" s="395" t="s">
        <v>58</v>
      </c>
      <c r="B15" s="722" t="s">
        <v>167</v>
      </c>
      <c r="C15" s="391">
        <v>9158000</v>
      </c>
      <c r="D15" s="389">
        <v>0</v>
      </c>
      <c r="E15" s="389">
        <v>0</v>
      </c>
      <c r="F15" s="391">
        <f t="shared" si="0"/>
        <v>9158000</v>
      </c>
    </row>
    <row r="16" spans="1:6" ht="24.75" customHeight="1" x14ac:dyDescent="0.25">
      <c r="A16" s="683" t="s">
        <v>13</v>
      </c>
      <c r="B16" s="723" t="s">
        <v>0</v>
      </c>
      <c r="C16" s="391">
        <f>+C12+C7</f>
        <v>313444000</v>
      </c>
      <c r="D16" s="391">
        <f t="shared" ref="D16:F16" si="1">+D12+D7</f>
        <v>0</v>
      </c>
      <c r="E16" s="391">
        <f t="shared" si="1"/>
        <v>0</v>
      </c>
      <c r="F16" s="391">
        <f t="shared" si="1"/>
        <v>313444000</v>
      </c>
    </row>
    <row r="17" spans="1:6" x14ac:dyDescent="0.25">
      <c r="A17" s="678"/>
      <c r="B17" s="678"/>
      <c r="C17" s="678"/>
      <c r="D17" s="678"/>
      <c r="E17" s="678"/>
      <c r="F17" s="678"/>
    </row>
    <row r="18" spans="1:6" x14ac:dyDescent="0.25">
      <c r="A18" s="678"/>
      <c r="B18" s="678"/>
      <c r="C18" s="678"/>
      <c r="D18" s="678"/>
      <c r="E18" s="678"/>
      <c r="F18" s="678"/>
    </row>
    <row r="19" spans="1:6" x14ac:dyDescent="0.25">
      <c r="A19" s="678"/>
      <c r="B19" s="678"/>
      <c r="C19" s="678"/>
      <c r="D19" s="678"/>
      <c r="E19" s="678"/>
      <c r="F19" s="678"/>
    </row>
    <row r="20" spans="1:6" x14ac:dyDescent="0.25">
      <c r="A20" s="678"/>
      <c r="B20" s="678"/>
      <c r="C20" s="678"/>
      <c r="D20" s="678"/>
      <c r="E20" s="678"/>
      <c r="F20" s="678"/>
    </row>
    <row r="21" spans="1:6" x14ac:dyDescent="0.25">
      <c r="A21" s="678"/>
      <c r="B21" s="678"/>
      <c r="C21" s="678"/>
      <c r="D21" s="678"/>
      <c r="E21" s="678"/>
      <c r="F21" s="678"/>
    </row>
    <row r="22" spans="1:6" x14ac:dyDescent="0.25">
      <c r="A22" s="678"/>
      <c r="B22" s="678"/>
      <c r="C22" s="678"/>
      <c r="D22" s="678"/>
      <c r="E22" s="678"/>
      <c r="F22" s="678"/>
    </row>
    <row r="23" spans="1:6" x14ac:dyDescent="0.25">
      <c r="A23" s="678"/>
      <c r="B23" s="678"/>
      <c r="C23" s="678"/>
      <c r="D23" s="678"/>
      <c r="E23" s="678"/>
      <c r="F23" s="678"/>
    </row>
    <row r="24" spans="1:6" x14ac:dyDescent="0.25">
      <c r="A24" s="678"/>
      <c r="B24" s="678"/>
      <c r="C24" s="678"/>
      <c r="D24" s="678"/>
      <c r="E24" s="678"/>
      <c r="F24" s="678"/>
    </row>
    <row r="25" spans="1:6" x14ac:dyDescent="0.25">
      <c r="A25" s="678"/>
      <c r="B25" s="678"/>
      <c r="C25" s="678"/>
      <c r="D25" s="678"/>
      <c r="E25" s="678"/>
      <c r="F25" s="678"/>
    </row>
    <row r="26" spans="1:6" x14ac:dyDescent="0.25">
      <c r="A26" s="678"/>
      <c r="B26" s="678"/>
      <c r="C26" s="678"/>
      <c r="D26" s="678"/>
      <c r="E26" s="678"/>
      <c r="F26" s="678"/>
    </row>
    <row r="27" spans="1:6" x14ac:dyDescent="0.25">
      <c r="A27" s="678"/>
      <c r="B27" s="678"/>
      <c r="C27" s="678"/>
      <c r="D27" s="678"/>
      <c r="E27" s="678"/>
      <c r="F27" s="678"/>
    </row>
    <row r="28" spans="1:6" x14ac:dyDescent="0.25">
      <c r="A28" s="678"/>
      <c r="B28" s="678"/>
      <c r="C28" s="678"/>
      <c r="D28" s="678"/>
      <c r="E28" s="678"/>
      <c r="F28" s="678"/>
    </row>
    <row r="29" spans="1:6" x14ac:dyDescent="0.25">
      <c r="A29" s="724"/>
      <c r="B29" s="724"/>
      <c r="C29" s="724"/>
      <c r="D29" s="724"/>
      <c r="E29" s="724"/>
      <c r="F29" s="724"/>
    </row>
    <row r="30" spans="1:6" x14ac:dyDescent="0.25">
      <c r="A30" s="725"/>
      <c r="B30" s="725"/>
      <c r="C30" s="725"/>
      <c r="D30" s="725"/>
      <c r="E30" s="725"/>
      <c r="F30" s="725"/>
    </row>
    <row r="31" spans="1:6" x14ac:dyDescent="0.25">
      <c r="A31" s="724"/>
      <c r="B31" s="724"/>
      <c r="C31" s="724"/>
      <c r="D31" s="724"/>
      <c r="E31" s="724"/>
      <c r="F31" s="724"/>
    </row>
    <row r="32" spans="1:6" x14ac:dyDescent="0.25">
      <c r="A32" s="678"/>
      <c r="B32" s="678"/>
      <c r="C32" s="678"/>
      <c r="D32" s="678"/>
      <c r="E32" s="678"/>
      <c r="F32" s="678"/>
    </row>
    <row r="33" spans="1:6" x14ac:dyDescent="0.25">
      <c r="A33" s="678"/>
      <c r="B33" s="678"/>
      <c r="C33" s="678"/>
      <c r="D33" s="678"/>
      <c r="E33" s="678"/>
      <c r="F33" s="678"/>
    </row>
    <row r="34" spans="1:6" x14ac:dyDescent="0.25">
      <c r="A34" s="678"/>
      <c r="B34" s="678"/>
      <c r="C34" s="678"/>
      <c r="D34" s="678"/>
      <c r="E34" s="678"/>
      <c r="F34" s="678"/>
    </row>
    <row r="35" spans="1:6" x14ac:dyDescent="0.25">
      <c r="A35" s="726"/>
      <c r="B35" s="726"/>
      <c r="C35" s="726"/>
      <c r="D35" s="726"/>
      <c r="E35" s="726"/>
      <c r="F35" s="726"/>
    </row>
    <row r="36" spans="1:6" x14ac:dyDescent="0.25">
      <c r="A36" s="678"/>
      <c r="B36" s="678"/>
      <c r="C36" s="678"/>
      <c r="D36" s="678"/>
      <c r="E36" s="678"/>
      <c r="F36" s="678"/>
    </row>
    <row r="37" spans="1:6" x14ac:dyDescent="0.25">
      <c r="A37" s="678"/>
      <c r="B37" s="678"/>
      <c r="C37" s="678"/>
      <c r="D37" s="678"/>
      <c r="E37" s="678"/>
      <c r="F37" s="678"/>
    </row>
    <row r="38" spans="1:6" x14ac:dyDescent="0.25">
      <c r="A38" s="678"/>
      <c r="B38" s="678"/>
      <c r="C38" s="678"/>
      <c r="D38" s="678"/>
      <c r="E38" s="678"/>
      <c r="F38" s="678"/>
    </row>
    <row r="39" spans="1:6" x14ac:dyDescent="0.25">
      <c r="A39" s="678"/>
      <c r="B39" s="678"/>
      <c r="C39" s="678"/>
      <c r="D39" s="678"/>
      <c r="E39" s="678"/>
      <c r="F39" s="678"/>
    </row>
    <row r="40" spans="1:6" x14ac:dyDescent="0.25">
      <c r="A40" s="678"/>
      <c r="B40" s="678"/>
      <c r="C40" s="678"/>
      <c r="D40" s="678"/>
      <c r="E40" s="678"/>
      <c r="F40" s="678"/>
    </row>
    <row r="41" spans="1:6" x14ac:dyDescent="0.25">
      <c r="A41" s="678"/>
      <c r="B41" s="678"/>
      <c r="C41" s="678"/>
      <c r="D41" s="678"/>
      <c r="E41" s="678"/>
      <c r="F41" s="678"/>
    </row>
    <row r="42" spans="1:6" x14ac:dyDescent="0.25">
      <c r="A42" s="678"/>
      <c r="B42" s="678"/>
      <c r="C42" s="678"/>
      <c r="D42" s="678"/>
      <c r="E42" s="678"/>
      <c r="F42" s="678"/>
    </row>
    <row r="43" spans="1:6" x14ac:dyDescent="0.25">
      <c r="A43" s="678"/>
      <c r="B43" s="678"/>
      <c r="C43" s="678"/>
      <c r="D43" s="678"/>
      <c r="E43" s="678"/>
      <c r="F43" s="678"/>
    </row>
  </sheetData>
  <mergeCells count="3">
    <mergeCell ref="E5:F5"/>
    <mergeCell ref="D1:F2"/>
    <mergeCell ref="A3:F3"/>
  </mergeCells>
  <printOptions horizontalCentered="1"/>
  <pageMargins left="0.51181102362204722" right="0.39370078740157483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77111117893"/>
    <pageSetUpPr fitToPage="1"/>
  </sheetPr>
  <dimension ref="A1:BC47"/>
  <sheetViews>
    <sheetView view="pageBreakPreview" topLeftCell="Y1" zoomScale="85" zoomScaleNormal="100" zoomScaleSheetLayoutView="85" zoomScalePageLayoutView="80" workbookViewId="0">
      <selection activeCell="BC28" sqref="AC1:BC28"/>
    </sheetView>
  </sheetViews>
  <sheetFormatPr defaultColWidth="9.28515625" defaultRowHeight="15" x14ac:dyDescent="0.25"/>
  <cols>
    <col min="1" max="1" width="4.42578125" style="5" customWidth="1"/>
    <col min="2" max="2" width="23.7109375" style="5" customWidth="1"/>
    <col min="3" max="3" width="10.7109375" style="5" customWidth="1"/>
    <col min="4" max="4" width="10.7109375" style="5" hidden="1" customWidth="1"/>
    <col min="5" max="6" width="10.7109375" style="5" customWidth="1"/>
    <col min="7" max="7" width="10.7109375" style="5" hidden="1" customWidth="1"/>
    <col min="8" max="10" width="10.7109375" style="5" customWidth="1"/>
    <col min="11" max="11" width="10.7109375" style="105" customWidth="1"/>
    <col min="12" max="12" width="10.7109375" style="105" hidden="1" customWidth="1"/>
    <col min="13" max="13" width="10.7109375" style="105" customWidth="1"/>
    <col min="14" max="14" width="4.140625" style="168" customWidth="1"/>
    <col min="15" max="15" width="5.7109375" style="105" customWidth="1"/>
    <col min="16" max="16" width="24.5703125" style="5" customWidth="1"/>
    <col min="17" max="17" width="10.7109375" style="5" customWidth="1"/>
    <col min="18" max="18" width="10.7109375" style="5" hidden="1" customWidth="1"/>
    <col min="19" max="20" width="10.7109375" style="5" customWidth="1"/>
    <col min="21" max="21" width="10.7109375" style="5" hidden="1" customWidth="1"/>
    <col min="22" max="24" width="10.7109375" style="5" customWidth="1"/>
    <col min="25" max="25" width="10.7109375" style="105" customWidth="1"/>
    <col min="26" max="26" width="10.7109375" style="105" hidden="1" customWidth="1"/>
    <col min="27" max="28" width="10.7109375" style="105" customWidth="1"/>
    <col min="29" max="29" width="5.85546875" style="5" customWidth="1"/>
    <col min="30" max="30" width="22.28515625" style="5" customWidth="1"/>
    <col min="31" max="31" width="10.7109375" style="5" customWidth="1"/>
    <col min="32" max="32" width="10.7109375" style="5" hidden="1" customWidth="1"/>
    <col min="33" max="34" width="10.7109375" style="5" customWidth="1"/>
    <col min="35" max="35" width="10.7109375" style="5" hidden="1" customWidth="1"/>
    <col min="36" max="38" width="10.7109375" style="5" customWidth="1"/>
    <col min="39" max="39" width="10.7109375" style="105" customWidth="1"/>
    <col min="40" max="40" width="10.7109375" style="105" hidden="1" customWidth="1"/>
    <col min="41" max="41" width="10.7109375" style="105" customWidth="1"/>
    <col min="42" max="42" width="4.42578125" style="105" customWidth="1"/>
    <col min="43" max="43" width="5.85546875" style="5" customWidth="1"/>
    <col min="44" max="44" width="16.7109375" style="5" customWidth="1"/>
    <col min="45" max="45" width="10.7109375" style="5" customWidth="1"/>
    <col min="46" max="46" width="10.7109375" style="5" hidden="1" customWidth="1"/>
    <col min="47" max="48" width="10.7109375" style="5" customWidth="1"/>
    <col min="49" max="49" width="10.7109375" style="5" hidden="1" customWidth="1"/>
    <col min="50" max="52" width="10.7109375" style="5" customWidth="1"/>
    <col min="53" max="53" width="10.7109375" style="105" customWidth="1"/>
    <col min="54" max="54" width="10.7109375" style="105" hidden="1" customWidth="1"/>
    <col min="55" max="55" width="10.7109375" style="105" customWidth="1"/>
    <col min="56" max="56" width="10.7109375" style="5" customWidth="1"/>
    <col min="57" max="16384" width="9.28515625" style="5"/>
  </cols>
  <sheetData>
    <row r="1" spans="1:55" s="306" customFormat="1" ht="41.25" customHeight="1" x14ac:dyDescent="0.25">
      <c r="A1" s="305"/>
      <c r="B1" s="330"/>
      <c r="C1" s="305"/>
      <c r="D1" s="305"/>
      <c r="E1" s="305"/>
      <c r="F1" s="305"/>
      <c r="G1" s="305"/>
      <c r="H1" s="305"/>
      <c r="I1" s="305"/>
      <c r="J1" s="305"/>
      <c r="K1" s="311"/>
      <c r="L1" s="311"/>
      <c r="M1" s="311"/>
      <c r="N1" s="1055"/>
      <c r="O1" s="311"/>
      <c r="P1" s="305"/>
      <c r="S1" s="107"/>
      <c r="T1" s="328"/>
      <c r="U1" s="328"/>
      <c r="V1" s="328"/>
      <c r="W1" s="1134" t="s">
        <v>608</v>
      </c>
      <c r="X1" s="1134"/>
      <c r="Y1" s="1134"/>
      <c r="Z1" s="797"/>
      <c r="AA1" s="107"/>
      <c r="AB1" s="107"/>
      <c r="AC1" s="305"/>
      <c r="AD1" s="330"/>
      <c r="AE1" s="305"/>
      <c r="AF1" s="305"/>
      <c r="AG1" s="305"/>
      <c r="AH1" s="305"/>
      <c r="AI1" s="305"/>
      <c r="AJ1" s="305"/>
      <c r="AK1" s="305"/>
      <c r="AL1" s="305"/>
      <c r="AM1" s="311"/>
      <c r="AN1" s="311"/>
      <c r="AO1" s="311"/>
      <c r="AP1" s="311"/>
      <c r="AQ1" s="305"/>
      <c r="AR1" s="305"/>
      <c r="AU1" s="107"/>
      <c r="AV1" s="328"/>
      <c r="AW1" s="328"/>
      <c r="AX1" s="328"/>
      <c r="AY1" s="1134" t="s">
        <v>609</v>
      </c>
      <c r="AZ1" s="1134"/>
      <c r="BA1" s="1134"/>
      <c r="BB1" s="1049"/>
      <c r="BC1" s="1050"/>
    </row>
    <row r="2" spans="1:55" s="306" customFormat="1" ht="30.75" customHeight="1" x14ac:dyDescent="0.25">
      <c r="A2" s="1142" t="s">
        <v>588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  <c r="O2" s="1142"/>
      <c r="P2" s="1142"/>
      <c r="Q2" s="1142"/>
      <c r="R2" s="1142"/>
      <c r="S2" s="1142"/>
      <c r="T2" s="1142"/>
      <c r="U2" s="1142"/>
      <c r="V2" s="1142"/>
      <c r="W2" s="1142"/>
      <c r="X2" s="1142"/>
      <c r="Y2" s="1142"/>
      <c r="Z2" s="1142"/>
      <c r="AA2" s="1142"/>
      <c r="AB2" s="800"/>
      <c r="AC2" s="1142" t="s">
        <v>589</v>
      </c>
      <c r="AD2" s="1142"/>
      <c r="AE2" s="1142"/>
      <c r="AF2" s="1142"/>
      <c r="AG2" s="1142"/>
      <c r="AH2" s="1142"/>
      <c r="AI2" s="1142"/>
      <c r="AJ2" s="1142"/>
      <c r="AK2" s="1142"/>
      <c r="AL2" s="1142"/>
      <c r="AM2" s="1142"/>
      <c r="AN2" s="1142"/>
      <c r="AO2" s="1142"/>
      <c r="AP2" s="1142"/>
      <c r="AQ2" s="1142"/>
      <c r="AR2" s="1142"/>
      <c r="AS2" s="1142"/>
      <c r="AT2" s="1142"/>
      <c r="AU2" s="1142"/>
      <c r="AV2" s="1142"/>
      <c r="AW2" s="1142"/>
      <c r="AX2" s="1142"/>
      <c r="AY2" s="1142"/>
      <c r="AZ2" s="1142"/>
      <c r="BA2" s="1142"/>
      <c r="BB2" s="1142"/>
      <c r="BC2" s="1142"/>
    </row>
    <row r="3" spans="1:55" s="306" customFormat="1" ht="15" customHeight="1" x14ac:dyDescent="0.2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1056"/>
      <c r="O3" s="307"/>
      <c r="P3" s="307"/>
      <c r="Q3" s="307"/>
      <c r="R3" s="307"/>
      <c r="S3" s="307"/>
      <c r="W3" s="1141" t="s">
        <v>339</v>
      </c>
      <c r="X3" s="1141"/>
      <c r="Y3" s="1141"/>
      <c r="Z3" s="1048"/>
      <c r="AA3" s="314"/>
      <c r="AB3" s="314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Y3" s="1141" t="s">
        <v>339</v>
      </c>
      <c r="AZ3" s="1141"/>
      <c r="BA3" s="1141"/>
      <c r="BB3" s="314"/>
      <c r="BC3" s="133"/>
    </row>
    <row r="4" spans="1:55" s="308" customFormat="1" ht="56.25" x14ac:dyDescent="0.25">
      <c r="A4" s="94" t="s">
        <v>223</v>
      </c>
      <c r="B4" s="94" t="s">
        <v>590</v>
      </c>
      <c r="C4" s="80" t="s">
        <v>460</v>
      </c>
      <c r="D4" s="80" t="s">
        <v>683</v>
      </c>
      <c r="E4" s="80" t="s">
        <v>684</v>
      </c>
      <c r="F4" s="80" t="s">
        <v>463</v>
      </c>
      <c r="G4" s="80" t="s">
        <v>685</v>
      </c>
      <c r="H4" s="80" t="s">
        <v>643</v>
      </c>
      <c r="I4" s="80" t="s">
        <v>465</v>
      </c>
      <c r="J4" s="80" t="s">
        <v>466</v>
      </c>
      <c r="K4" s="80" t="s">
        <v>467</v>
      </c>
      <c r="L4" s="728" t="s">
        <v>686</v>
      </c>
      <c r="M4" s="728" t="s">
        <v>687</v>
      </c>
      <c r="N4" s="1057"/>
      <c r="O4" s="732" t="s">
        <v>223</v>
      </c>
      <c r="P4" s="732" t="s">
        <v>591</v>
      </c>
      <c r="Q4" s="80" t="s">
        <v>460</v>
      </c>
      <c r="R4" s="80" t="s">
        <v>683</v>
      </c>
      <c r="S4" s="80" t="s">
        <v>684</v>
      </c>
      <c r="T4" s="80" t="s">
        <v>463</v>
      </c>
      <c r="U4" s="80" t="s">
        <v>685</v>
      </c>
      <c r="V4" s="80" t="s">
        <v>643</v>
      </c>
      <c r="W4" s="80" t="s">
        <v>465</v>
      </c>
      <c r="X4" s="80" t="s">
        <v>466</v>
      </c>
      <c r="Y4" s="80" t="s">
        <v>467</v>
      </c>
      <c r="Z4" s="728" t="s">
        <v>686</v>
      </c>
      <c r="AA4" s="728" t="s">
        <v>687</v>
      </c>
      <c r="AB4" s="728"/>
      <c r="AC4" s="94" t="s">
        <v>223</v>
      </c>
      <c r="AD4" s="94" t="s">
        <v>590</v>
      </c>
      <c r="AE4" s="80" t="s">
        <v>460</v>
      </c>
      <c r="AF4" s="80" t="s">
        <v>683</v>
      </c>
      <c r="AG4" s="80" t="s">
        <v>684</v>
      </c>
      <c r="AH4" s="80" t="s">
        <v>463</v>
      </c>
      <c r="AI4" s="80" t="s">
        <v>685</v>
      </c>
      <c r="AJ4" s="80" t="s">
        <v>643</v>
      </c>
      <c r="AK4" s="80" t="s">
        <v>465</v>
      </c>
      <c r="AL4" s="80" t="s">
        <v>466</v>
      </c>
      <c r="AM4" s="80" t="s">
        <v>467</v>
      </c>
      <c r="AN4" s="728" t="s">
        <v>686</v>
      </c>
      <c r="AO4" s="728" t="s">
        <v>687</v>
      </c>
      <c r="AP4" s="743"/>
      <c r="AQ4" s="94" t="s">
        <v>223</v>
      </c>
      <c r="AR4" s="732" t="s">
        <v>591</v>
      </c>
      <c r="AS4" s="80" t="s">
        <v>460</v>
      </c>
      <c r="AT4" s="80" t="s">
        <v>683</v>
      </c>
      <c r="AU4" s="80" t="s">
        <v>684</v>
      </c>
      <c r="AV4" s="80" t="s">
        <v>463</v>
      </c>
      <c r="AW4" s="80" t="s">
        <v>685</v>
      </c>
      <c r="AX4" s="80" t="s">
        <v>643</v>
      </c>
      <c r="AY4" s="80" t="s">
        <v>465</v>
      </c>
      <c r="AZ4" s="80" t="s">
        <v>466</v>
      </c>
      <c r="BA4" s="80" t="s">
        <v>467</v>
      </c>
      <c r="BB4" s="728" t="s">
        <v>686</v>
      </c>
      <c r="BC4" s="728" t="s">
        <v>687</v>
      </c>
    </row>
    <row r="5" spans="1:55" s="306" customFormat="1" ht="26.25" customHeight="1" x14ac:dyDescent="0.25">
      <c r="A5" s="243" t="s">
        <v>11</v>
      </c>
      <c r="B5" s="206" t="s">
        <v>69</v>
      </c>
      <c r="C5" s="51">
        <f>'2020. 1.bevkiadfőössz. '!C5</f>
        <v>1128920000</v>
      </c>
      <c r="D5" s="51">
        <f>'2020. 1.bevkiadfőössz. '!D5</f>
        <v>1128920000</v>
      </c>
      <c r="E5" s="51">
        <f>'2020. 1.bevkiadfőössz. '!E5</f>
        <v>1128920000</v>
      </c>
      <c r="F5" s="51">
        <f>'2020. 1.bevkiadfőössz. '!G5</f>
        <v>0</v>
      </c>
      <c r="G5" s="51">
        <f>'2020. 1.bevkiadfőössz. '!H5</f>
        <v>0</v>
      </c>
      <c r="H5" s="51">
        <f>'2020. 1.bevkiadfőössz. '!J5</f>
        <v>0</v>
      </c>
      <c r="I5" s="51">
        <f>'2020. 1.bevkiadfőössz. '!K5</f>
        <v>0</v>
      </c>
      <c r="J5" s="51">
        <f>'2020. 1.bevkiadfőössz. '!L5</f>
        <v>0</v>
      </c>
      <c r="K5" s="50">
        <f>C5+F5+I5</f>
        <v>1128920000</v>
      </c>
      <c r="L5" s="50">
        <f>D5+G5+J5</f>
        <v>1128920000</v>
      </c>
      <c r="M5" s="729">
        <f>E5+H5+J5</f>
        <v>1128920000</v>
      </c>
      <c r="N5" s="750"/>
      <c r="O5" s="1052" t="s">
        <v>11</v>
      </c>
      <c r="P5" s="733" t="s">
        <v>6</v>
      </c>
      <c r="Q5" s="51">
        <f>'2020. 1.bevkiadfőössz. '!C42</f>
        <v>1047524000</v>
      </c>
      <c r="R5" s="51">
        <f>'2020. 1.bevkiadfőössz. '!D42</f>
        <v>1039125500</v>
      </c>
      <c r="S5" s="51">
        <f>'2020. 1.bevkiadfőössz. '!E42</f>
        <v>1041816812</v>
      </c>
      <c r="T5" s="51">
        <f>'2020. 1.bevkiadfőössz. '!G42</f>
        <v>0</v>
      </c>
      <c r="U5" s="51">
        <f>'2020. 1.bevkiadfőössz. '!H42</f>
        <v>0</v>
      </c>
      <c r="V5" s="51">
        <f>'2020. 1.bevkiadfőössz. '!I42</f>
        <v>0</v>
      </c>
      <c r="W5" s="51">
        <f>'2020. 1.bevkiadfőössz. '!K42</f>
        <v>0</v>
      </c>
      <c r="X5" s="51">
        <f>'2020. 1.bevkiadfőössz. '!L42</f>
        <v>0</v>
      </c>
      <c r="Y5" s="92">
        <f>Q5+T5+W5</f>
        <v>1047524000</v>
      </c>
      <c r="Z5" s="92">
        <f>R5+U5+X5</f>
        <v>1039125500</v>
      </c>
      <c r="AA5" s="92">
        <f>S5+V5+X5</f>
        <v>1041816812</v>
      </c>
      <c r="AB5" s="92"/>
      <c r="AC5" s="243" t="s">
        <v>11</v>
      </c>
      <c r="AD5" s="206" t="s">
        <v>138</v>
      </c>
      <c r="AE5" s="49">
        <f>'2020. 1.bevkiadfőössz. '!C11</f>
        <v>266257000</v>
      </c>
      <c r="AF5" s="49">
        <f>'2020. 1.bevkiadfőössz. '!D11</f>
        <v>266257000</v>
      </c>
      <c r="AG5" s="49">
        <f>'2020. 1.bevkiadfőössz. '!E11</f>
        <v>266257000</v>
      </c>
      <c r="AH5" s="49">
        <f>'2020. 1.bevkiadfőössz. '!G11</f>
        <v>0</v>
      </c>
      <c r="AI5" s="49">
        <f>'2020. 1.bevkiadfőössz. '!H11</f>
        <v>0</v>
      </c>
      <c r="AJ5" s="49">
        <f>'2020. 1.bevkiadfőössz. '!I11</f>
        <v>0</v>
      </c>
      <c r="AK5" s="49">
        <f>'2020. 1.bevkiadfőössz. '!K11</f>
        <v>0</v>
      </c>
      <c r="AL5" s="49">
        <f>'2020. 1.bevkiadfőössz. '!L11</f>
        <v>0</v>
      </c>
      <c r="AM5" s="50">
        <f>AE5+AH5+AK5</f>
        <v>266257000</v>
      </c>
      <c r="AN5" s="50">
        <f>AF5+AI5+AL5</f>
        <v>266257000</v>
      </c>
      <c r="AO5" s="729">
        <f>AG5+AJ5+AL5</f>
        <v>266257000</v>
      </c>
      <c r="AP5" s="744"/>
      <c r="AQ5" s="801" t="s">
        <v>11</v>
      </c>
      <c r="AR5" s="733" t="s">
        <v>9</v>
      </c>
      <c r="AS5" s="319">
        <f>'2020. 1.bevkiadfőössz. '!C54</f>
        <v>955565000</v>
      </c>
      <c r="AT5" s="319">
        <f>'2020. 1.bevkiadfőössz. '!D54</f>
        <v>958491000</v>
      </c>
      <c r="AU5" s="319">
        <f>'2020. 1.bevkiadfőössz. '!E54</f>
        <v>988778860</v>
      </c>
      <c r="AV5" s="319">
        <f>'2020. 1.bevkiadfőössz. '!G54</f>
        <v>0</v>
      </c>
      <c r="AW5" s="319">
        <f>'2020. 1.bevkiadfőössz. '!H54</f>
        <v>0</v>
      </c>
      <c r="AX5" s="319">
        <f>'2020. 1.bevkiadfőössz. '!I54</f>
        <v>0</v>
      </c>
      <c r="AY5" s="319">
        <f>'2020. 1.bevkiadfőössz. '!K54</f>
        <v>0</v>
      </c>
      <c r="AZ5" s="319">
        <f>'2020. 1.bevkiadfőössz. '!L54</f>
        <v>0</v>
      </c>
      <c r="BA5" s="92">
        <f>AS5+AV5+AY5</f>
        <v>955565000</v>
      </c>
      <c r="BB5" s="92">
        <f>AT5+AW5+AZ5</f>
        <v>958491000</v>
      </c>
      <c r="BC5" s="92">
        <f>AU5+AX5+AZ5</f>
        <v>988778860</v>
      </c>
    </row>
    <row r="6" spans="1:55" s="306" customFormat="1" ht="26.25" customHeight="1" x14ac:dyDescent="0.25">
      <c r="A6" s="801" t="s">
        <v>12</v>
      </c>
      <c r="B6" s="206" t="s">
        <v>112</v>
      </c>
      <c r="C6" s="51">
        <f>'2020. 1.bevkiadfőössz. '!C6</f>
        <v>239517000</v>
      </c>
      <c r="D6" s="51">
        <f>'2020. 1.bevkiadfőössz. '!D6</f>
        <v>239517000</v>
      </c>
      <c r="E6" s="51">
        <f>'2020. 1.bevkiadfőössz. '!E6</f>
        <v>239517000</v>
      </c>
      <c r="F6" s="51">
        <f>'2020. 1.bevkiadfőössz. '!G6</f>
        <v>0</v>
      </c>
      <c r="G6" s="51">
        <f>'2020. 1.bevkiadfőössz. '!H6</f>
        <v>0</v>
      </c>
      <c r="H6" s="51">
        <f>'2020. 1.bevkiadfőössz. '!J6</f>
        <v>0</v>
      </c>
      <c r="I6" s="51">
        <f>'2020. 1.bevkiadfőössz. '!K6</f>
        <v>0</v>
      </c>
      <c r="J6" s="51">
        <f>'2020. 1.bevkiadfőössz. '!L6</f>
        <v>0</v>
      </c>
      <c r="K6" s="50">
        <f t="shared" ref="K6:K9" si="0">C6+F6+I6</f>
        <v>239517000</v>
      </c>
      <c r="L6" s="50">
        <f t="shared" ref="L6:L9" si="1">D6+G6+J6</f>
        <v>239517000</v>
      </c>
      <c r="M6" s="729">
        <f t="shared" ref="M6:M9" si="2">E6+H6+J6</f>
        <v>239517000</v>
      </c>
      <c r="N6" s="750"/>
      <c r="O6" s="1052" t="s">
        <v>12</v>
      </c>
      <c r="P6" s="734" t="s">
        <v>7</v>
      </c>
      <c r="Q6" s="205">
        <f>'2020. 1.bevkiadfőössz. '!C43</f>
        <v>171290000</v>
      </c>
      <c r="R6" s="205">
        <f>'2020. 1.bevkiadfőössz. '!D43</f>
        <v>170962000</v>
      </c>
      <c r="S6" s="205">
        <f>'2020. 1.bevkiadfőössz. '!E43</f>
        <v>170962000</v>
      </c>
      <c r="T6" s="205">
        <f>'2020. 1.bevkiadfőössz. '!G43</f>
        <v>0</v>
      </c>
      <c r="U6" s="205">
        <f>'2020. 1.bevkiadfőössz. '!H43</f>
        <v>0</v>
      </c>
      <c r="V6" s="205">
        <f>'2020. 1.bevkiadfőössz. '!I43</f>
        <v>0</v>
      </c>
      <c r="W6" s="205">
        <f>'2020. 1.bevkiadfőössz. '!K43</f>
        <v>0</v>
      </c>
      <c r="X6" s="205">
        <f>'2020. 1.bevkiadfőössz. '!L43</f>
        <v>0</v>
      </c>
      <c r="Y6" s="92">
        <f t="shared" ref="Y6:Y10" si="3">Q6+T6+W6</f>
        <v>171290000</v>
      </c>
      <c r="Z6" s="92">
        <f t="shared" ref="Z6:Z10" si="4">R6+U6+X6</f>
        <v>170962000</v>
      </c>
      <c r="AA6" s="92">
        <f t="shared" ref="AA6:AA10" si="5">S6+V6+X6</f>
        <v>170962000</v>
      </c>
      <c r="AB6" s="92"/>
      <c r="AC6" s="801" t="s">
        <v>12</v>
      </c>
      <c r="AD6" s="206" t="s">
        <v>77</v>
      </c>
      <c r="AE6" s="49">
        <f>'2020. 1.bevkiadfőössz. '!C20</f>
        <v>760000000</v>
      </c>
      <c r="AF6" s="49">
        <f>'2020. 1.bevkiadfőössz. '!D20</f>
        <v>760000000</v>
      </c>
      <c r="AG6" s="49">
        <f>'2020. 1.bevkiadfőössz. '!E20</f>
        <v>760000000</v>
      </c>
      <c r="AH6" s="49">
        <f>'2020. 1.bevkiadfőössz. '!G20</f>
        <v>0</v>
      </c>
      <c r="AI6" s="49">
        <f>'2020. 1.bevkiadfőössz. '!H20</f>
        <v>0</v>
      </c>
      <c r="AJ6" s="49">
        <f>'2020. 1.bevkiadfőössz. '!I20</f>
        <v>0</v>
      </c>
      <c r="AK6" s="49">
        <f>'2020. 1.bevkiadfőössz. '!K20</f>
        <v>0</v>
      </c>
      <c r="AL6" s="49">
        <f>'2020. 1.bevkiadfőössz. '!L20</f>
        <v>0</v>
      </c>
      <c r="AM6" s="50">
        <f>AE6+AH6+AK6</f>
        <v>760000000</v>
      </c>
      <c r="AN6" s="50">
        <f t="shared" ref="AN6:AN8" si="6">AF6+AI6+AL6</f>
        <v>760000000</v>
      </c>
      <c r="AO6" s="729">
        <f t="shared" ref="AO6:AO8" si="7">AG6+AJ6+AL6</f>
        <v>760000000</v>
      </c>
      <c r="AP6" s="744"/>
      <c r="AQ6" s="801" t="s">
        <v>12</v>
      </c>
      <c r="AR6" s="734" t="s">
        <v>10</v>
      </c>
      <c r="AS6" s="74">
        <f>'2020. 1.bevkiadfőössz. '!C55</f>
        <v>179070000</v>
      </c>
      <c r="AT6" s="74">
        <f>'2020. 1.bevkiadfőössz. '!D55</f>
        <v>179070000</v>
      </c>
      <c r="AU6" s="74">
        <f>'2020. 1.bevkiadfőössz. '!E55</f>
        <v>179227591</v>
      </c>
      <c r="AV6" s="74">
        <f>'2020. 1.bevkiadfőössz. '!G55</f>
        <v>0</v>
      </c>
      <c r="AW6" s="74">
        <f>'2020. 1.bevkiadfőössz. '!H55</f>
        <v>0</v>
      </c>
      <c r="AX6" s="74">
        <f>'2020. 1.bevkiadfőössz. '!I55</f>
        <v>0</v>
      </c>
      <c r="AY6" s="74">
        <f>'2020. 1.bevkiadfőössz. '!K55</f>
        <v>0</v>
      </c>
      <c r="AZ6" s="74">
        <f>'2020. 1.bevkiadfőössz. '!L55</f>
        <v>0</v>
      </c>
      <c r="BA6" s="92">
        <f t="shared" ref="BA6:BA8" si="8">AS6+AV6+AY6</f>
        <v>179070000</v>
      </c>
      <c r="BB6" s="92">
        <f t="shared" ref="BB6:BB8" si="9">AT6+AW6+AZ6</f>
        <v>179070000</v>
      </c>
      <c r="BC6" s="92">
        <f t="shared" ref="BC6:BC8" si="10">AU6+AX6+AZ6</f>
        <v>179227591</v>
      </c>
    </row>
    <row r="7" spans="1:55" s="306" customFormat="1" ht="26.25" customHeight="1" x14ac:dyDescent="0.25">
      <c r="A7" s="801" t="s">
        <v>13</v>
      </c>
      <c r="B7" s="206" t="s">
        <v>75</v>
      </c>
      <c r="C7" s="51">
        <f>'2020. 1.bevkiadfőössz. '!C12</f>
        <v>1065000000</v>
      </c>
      <c r="D7" s="51">
        <f>'2020. 1.bevkiadfőössz. '!D12</f>
        <v>1065000000</v>
      </c>
      <c r="E7" s="51">
        <f>'2020. 1.bevkiadfőössz. '!E12</f>
        <v>1065000000</v>
      </c>
      <c r="F7" s="51">
        <f>'2020. 1.bevkiadfőössz. '!G12</f>
        <v>0</v>
      </c>
      <c r="G7" s="51">
        <f>'2020. 1.bevkiadfőössz. '!H12</f>
        <v>0</v>
      </c>
      <c r="H7" s="51">
        <f>'2020. 1.bevkiadfőössz. '!J12</f>
        <v>0</v>
      </c>
      <c r="I7" s="51">
        <f>'2020. 1.bevkiadfőössz. '!K12</f>
        <v>0</v>
      </c>
      <c r="J7" s="51">
        <f>'2020. 1.bevkiadfőössz. '!L12</f>
        <v>0</v>
      </c>
      <c r="K7" s="50">
        <f t="shared" si="0"/>
        <v>1065000000</v>
      </c>
      <c r="L7" s="50">
        <f t="shared" si="1"/>
        <v>1065000000</v>
      </c>
      <c r="M7" s="729">
        <f t="shared" si="2"/>
        <v>1065000000</v>
      </c>
      <c r="N7" s="750"/>
      <c r="O7" s="1052" t="s">
        <v>13</v>
      </c>
      <c r="P7" s="733" t="s">
        <v>113</v>
      </c>
      <c r="Q7" s="205">
        <f>'2020. 1.bevkiadfőössz. '!C44</f>
        <v>1032874000</v>
      </c>
      <c r="R7" s="205">
        <f>'2020. 1.bevkiadfőössz. '!D44</f>
        <v>1082099500</v>
      </c>
      <c r="S7" s="205">
        <f>'2020. 1.bevkiadfőössz. '!E44</f>
        <v>1115686281</v>
      </c>
      <c r="T7" s="205">
        <f>'2020. 1.bevkiadfőössz. '!G44</f>
        <v>0</v>
      </c>
      <c r="U7" s="205">
        <f>'2020. 1.bevkiadfőössz. '!H44</f>
        <v>0</v>
      </c>
      <c r="V7" s="205">
        <f>'2020. 1.bevkiadfőössz. '!I44</f>
        <v>0</v>
      </c>
      <c r="W7" s="205">
        <f>'2020. 1.bevkiadfőössz. '!K44</f>
        <v>0</v>
      </c>
      <c r="X7" s="205">
        <f>'2020. 1.bevkiadfőössz. '!L44</f>
        <v>0</v>
      </c>
      <c r="Y7" s="92">
        <f t="shared" si="3"/>
        <v>1032874000</v>
      </c>
      <c r="Z7" s="92">
        <f t="shared" si="4"/>
        <v>1082099500</v>
      </c>
      <c r="AA7" s="92">
        <f t="shared" si="5"/>
        <v>1115686281</v>
      </c>
      <c r="AB7" s="92"/>
      <c r="AC7" s="801" t="s">
        <v>13</v>
      </c>
      <c r="AD7" s="208" t="s">
        <v>79</v>
      </c>
      <c r="AE7" s="304">
        <f>'2020. 1.bevkiadfőössz. '!C22</f>
        <v>0</v>
      </c>
      <c r="AF7" s="304">
        <f>'2020. 1.bevkiadfőössz. '!D22</f>
        <v>0</v>
      </c>
      <c r="AG7" s="304">
        <f>'2020. 1.bevkiadfőössz. '!E22</f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50">
        <f t="shared" ref="AM7:AM8" si="11">AE7+AH7+AK7</f>
        <v>0</v>
      </c>
      <c r="AN7" s="50">
        <f t="shared" si="6"/>
        <v>0</v>
      </c>
      <c r="AO7" s="729">
        <f t="shared" si="7"/>
        <v>0</v>
      </c>
      <c r="AP7" s="744"/>
      <c r="AQ7" s="801" t="s">
        <v>13</v>
      </c>
      <c r="AR7" s="733" t="s">
        <v>146</v>
      </c>
      <c r="AS7" s="319">
        <f>'2020. 1.bevkiadfőössz. '!C56</f>
        <v>0</v>
      </c>
      <c r="AT7" s="319">
        <f>'2020. 1.bevkiadfőössz. '!D56</f>
        <v>0</v>
      </c>
      <c r="AU7" s="319">
        <f>'2020. 1.bevkiadfőössz. '!E56</f>
        <v>0</v>
      </c>
      <c r="AV7" s="319">
        <f>'2020. 1.bevkiadfőössz. '!G56</f>
        <v>0</v>
      </c>
      <c r="AW7" s="319">
        <f>'2020. 1.bevkiadfőössz. '!H56</f>
        <v>0</v>
      </c>
      <c r="AX7" s="319">
        <f>'2020. 1.bevkiadfőössz. '!I56</f>
        <v>0</v>
      </c>
      <c r="AY7" s="319">
        <f>'2020. 1.bevkiadfőössz. '!K56</f>
        <v>0</v>
      </c>
      <c r="AZ7" s="319">
        <f>'2020. 1.bevkiadfőössz. '!L56</f>
        <v>0</v>
      </c>
      <c r="BA7" s="92">
        <f t="shared" si="8"/>
        <v>0</v>
      </c>
      <c r="BB7" s="92">
        <f t="shared" si="9"/>
        <v>0</v>
      </c>
      <c r="BC7" s="92">
        <f t="shared" si="10"/>
        <v>0</v>
      </c>
    </row>
    <row r="8" spans="1:55" s="306" customFormat="1" ht="26.25" customHeight="1" x14ac:dyDescent="0.25">
      <c r="A8" s="801" t="s">
        <v>14</v>
      </c>
      <c r="B8" s="206" t="s">
        <v>78</v>
      </c>
      <c r="C8" s="49">
        <v>0</v>
      </c>
      <c r="D8" s="49">
        <v>0</v>
      </c>
      <c r="E8" s="49">
        <v>0</v>
      </c>
      <c r="F8" s="49">
        <f>'2020. 1.bevkiadfőössz. '!G21</f>
        <v>0</v>
      </c>
      <c r="G8" s="49">
        <f>'2020. 1.bevkiadfőössz. '!H21</f>
        <v>0</v>
      </c>
      <c r="H8" s="49">
        <f>'2020. 1.bevkiadfőössz. '!J21</f>
        <v>0</v>
      </c>
      <c r="I8" s="49">
        <f>'2020. 1.bevkiadfőössz. '!K21</f>
        <v>0</v>
      </c>
      <c r="J8" s="49">
        <f>'2020. 1.bevkiadfőössz. '!L21</f>
        <v>0</v>
      </c>
      <c r="K8" s="50">
        <f t="shared" si="0"/>
        <v>0</v>
      </c>
      <c r="L8" s="50">
        <f t="shared" si="1"/>
        <v>0</v>
      </c>
      <c r="M8" s="729">
        <f t="shared" si="2"/>
        <v>0</v>
      </c>
      <c r="N8" s="750"/>
      <c r="O8" s="1052" t="s">
        <v>14</v>
      </c>
      <c r="P8" s="734" t="s">
        <v>43</v>
      </c>
      <c r="Q8" s="205">
        <f>'2020. 1.bevkiadfőössz. '!C45</f>
        <v>0</v>
      </c>
      <c r="R8" s="205">
        <f>'2020. 1.bevkiadfőössz. '!D45</f>
        <v>0</v>
      </c>
      <c r="S8" s="205">
        <f>'2020. 1.bevkiadfőössz. '!E45</f>
        <v>0</v>
      </c>
      <c r="T8" s="205">
        <f>'2020. 1.bevkiadfőössz. '!G45</f>
        <v>17000000</v>
      </c>
      <c r="U8" s="205">
        <f>'2020. 1.bevkiadfőössz. '!H45</f>
        <v>17000000</v>
      </c>
      <c r="V8" s="205">
        <f>'2020. 1.bevkiadfőössz. '!I45</f>
        <v>17000000</v>
      </c>
      <c r="W8" s="205">
        <f>'2020. 1.bevkiadfőössz. '!K45</f>
        <v>0</v>
      </c>
      <c r="X8" s="205">
        <f>'2020. 1.bevkiadfőössz. '!L45</f>
        <v>0</v>
      </c>
      <c r="Y8" s="92">
        <f t="shared" si="3"/>
        <v>17000000</v>
      </c>
      <c r="Z8" s="92">
        <f t="shared" si="4"/>
        <v>17000000</v>
      </c>
      <c r="AA8" s="92">
        <f t="shared" si="5"/>
        <v>17000000</v>
      </c>
      <c r="AB8" s="92"/>
      <c r="AC8" s="801" t="s">
        <v>14</v>
      </c>
      <c r="AD8" s="208" t="s">
        <v>139</v>
      </c>
      <c r="AE8" s="304">
        <v>0</v>
      </c>
      <c r="AF8" s="304">
        <v>0</v>
      </c>
      <c r="AG8" s="304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50">
        <f t="shared" si="11"/>
        <v>0</v>
      </c>
      <c r="AN8" s="50">
        <f t="shared" si="6"/>
        <v>0</v>
      </c>
      <c r="AO8" s="729">
        <f t="shared" si="7"/>
        <v>0</v>
      </c>
      <c r="AP8" s="744"/>
      <c r="AQ8" s="801" t="s">
        <v>14</v>
      </c>
      <c r="AR8" s="734" t="s">
        <v>195</v>
      </c>
      <c r="AS8" s="51">
        <f>+'12. tartalékok'!D14</f>
        <v>109596000</v>
      </c>
      <c r="AT8" s="51">
        <f>+'12. tartalékok'!E14</f>
        <v>68171000</v>
      </c>
      <c r="AU8" s="51">
        <f>+'12. tartalékok'!F14</f>
        <v>9000000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92">
        <f t="shared" si="8"/>
        <v>109596000</v>
      </c>
      <c r="BB8" s="92">
        <f t="shared" si="9"/>
        <v>68171000</v>
      </c>
      <c r="BC8" s="92">
        <f t="shared" si="10"/>
        <v>9000000</v>
      </c>
    </row>
    <row r="9" spans="1:55" s="306" customFormat="1" ht="26.25" customHeight="1" x14ac:dyDescent="0.25">
      <c r="A9" s="801" t="s">
        <v>15</v>
      </c>
      <c r="B9" s="206" t="s">
        <v>76</v>
      </c>
      <c r="C9" s="51">
        <f>'2020. 1.bevkiadfőössz. '!C19</f>
        <v>218325000</v>
      </c>
      <c r="D9" s="51">
        <f>'2020. 1.bevkiadfőössz. '!D19</f>
        <v>220325000</v>
      </c>
      <c r="E9" s="51">
        <f>'2020. 1.bevkiadfőössz. '!E19</f>
        <v>220325000</v>
      </c>
      <c r="F9" s="51">
        <f>'2020. 1.bevkiadfőössz. '!G19</f>
        <v>0</v>
      </c>
      <c r="G9" s="51">
        <f>'2020. 1.bevkiadfőössz. '!H19</f>
        <v>0</v>
      </c>
      <c r="H9" s="51">
        <f>'2020. 1.bevkiadfőössz. '!J19</f>
        <v>0</v>
      </c>
      <c r="I9" s="51">
        <f>'2020. 1.bevkiadfőössz. '!K19</f>
        <v>0</v>
      </c>
      <c r="J9" s="51">
        <f>'2020. 1.bevkiadfőössz. '!L19</f>
        <v>0</v>
      </c>
      <c r="K9" s="50">
        <f t="shared" si="0"/>
        <v>218325000</v>
      </c>
      <c r="L9" s="50">
        <f t="shared" si="1"/>
        <v>220325000</v>
      </c>
      <c r="M9" s="729">
        <f t="shared" si="2"/>
        <v>220325000</v>
      </c>
      <c r="N9" s="750"/>
      <c r="O9" s="1052" t="s">
        <v>15</v>
      </c>
      <c r="P9" s="734" t="s">
        <v>44</v>
      </c>
      <c r="Q9" s="205">
        <f>'2020. 1.bevkiadfőössz. '!C46</f>
        <v>544632000</v>
      </c>
      <c r="R9" s="205">
        <f>'2020. 1.bevkiadfőössz. '!D46</f>
        <v>544632000</v>
      </c>
      <c r="S9" s="205">
        <f>'2020. 1.bevkiadfőössz. '!E46</f>
        <v>547623513</v>
      </c>
      <c r="T9" s="205">
        <f>'2020. 1.bevkiadfőössz. '!G46</f>
        <v>87492000</v>
      </c>
      <c r="U9" s="205">
        <f>'2020. 1.bevkiadfőössz. '!H46</f>
        <v>87492000</v>
      </c>
      <c r="V9" s="205">
        <f>'2020. 1.bevkiadfőössz. '!I46</f>
        <v>91692000</v>
      </c>
      <c r="W9" s="205">
        <f>'2020. 1.bevkiadfőössz. '!K46</f>
        <v>0</v>
      </c>
      <c r="X9" s="205">
        <f>'2020. 1.bevkiadfőössz. '!L46</f>
        <v>0</v>
      </c>
      <c r="Y9" s="92">
        <f t="shared" si="3"/>
        <v>632124000</v>
      </c>
      <c r="Z9" s="92">
        <f t="shared" si="4"/>
        <v>632124000</v>
      </c>
      <c r="AA9" s="92">
        <f t="shared" si="5"/>
        <v>639315513</v>
      </c>
      <c r="AB9" s="92"/>
      <c r="AC9" s="801" t="s">
        <v>15</v>
      </c>
      <c r="AD9" s="206"/>
      <c r="AE9" s="49"/>
      <c r="AF9" s="49"/>
      <c r="AG9" s="49"/>
      <c r="AH9" s="47"/>
      <c r="AI9" s="47"/>
      <c r="AJ9" s="47"/>
      <c r="AK9" s="47"/>
      <c r="AL9" s="47"/>
      <c r="AM9" s="50"/>
      <c r="AN9" s="729"/>
      <c r="AO9" s="729"/>
      <c r="AP9" s="744"/>
      <c r="AQ9" s="801" t="s">
        <v>15</v>
      </c>
      <c r="AR9" s="734"/>
      <c r="AS9" s="51"/>
      <c r="AT9" s="51"/>
      <c r="AU9" s="51"/>
      <c r="AV9" s="51"/>
      <c r="AW9" s="51"/>
      <c r="AX9" s="51"/>
      <c r="AY9" s="51"/>
      <c r="AZ9" s="51"/>
      <c r="BA9" s="92"/>
      <c r="BB9" s="92"/>
      <c r="BC9" s="92"/>
    </row>
    <row r="10" spans="1:55" s="306" customFormat="1" ht="26.25" customHeight="1" x14ac:dyDescent="0.25">
      <c r="A10" s="801" t="s">
        <v>16</v>
      </c>
      <c r="B10" s="207"/>
      <c r="C10" s="51"/>
      <c r="D10" s="51"/>
      <c r="E10" s="51"/>
      <c r="F10" s="51"/>
      <c r="G10" s="51"/>
      <c r="H10" s="51"/>
      <c r="I10" s="49"/>
      <c r="J10" s="49"/>
      <c r="K10" s="50"/>
      <c r="L10" s="729"/>
      <c r="M10" s="729"/>
      <c r="N10" s="750"/>
      <c r="O10" s="1052" t="s">
        <v>16</v>
      </c>
      <c r="P10" s="734" t="s">
        <v>217</v>
      </c>
      <c r="Q10" s="51">
        <f>'12. tartalékok'!D8+'12. tartalékok'!D10+'12. tartalékok'!D12</f>
        <v>27000000</v>
      </c>
      <c r="R10" s="51">
        <f>'12. tartalékok'!E8+'12. tartalékok'!E10+'12. tartalékok'!E12</f>
        <v>27000000</v>
      </c>
      <c r="S10" s="51">
        <f>'12. tartalékok'!F8+'12. tartalékok'!F10+'12. tartalékok'!F12</f>
        <v>8997986</v>
      </c>
      <c r="T10" s="74">
        <v>0</v>
      </c>
      <c r="U10" s="74">
        <v>0</v>
      </c>
      <c r="V10" s="74">
        <v>0</v>
      </c>
      <c r="W10" s="51">
        <v>0</v>
      </c>
      <c r="X10" s="51"/>
      <c r="Y10" s="92">
        <f t="shared" si="3"/>
        <v>27000000</v>
      </c>
      <c r="Z10" s="92">
        <f t="shared" si="4"/>
        <v>27000000</v>
      </c>
      <c r="AA10" s="92">
        <f t="shared" si="5"/>
        <v>8997986</v>
      </c>
      <c r="AB10" s="92"/>
      <c r="AC10" s="801" t="s">
        <v>16</v>
      </c>
      <c r="AD10" s="47"/>
      <c r="AE10" s="49"/>
      <c r="AF10" s="49"/>
      <c r="AG10" s="49"/>
      <c r="AH10" s="47"/>
      <c r="AI10" s="47"/>
      <c r="AJ10" s="47"/>
      <c r="AK10" s="47"/>
      <c r="AL10" s="47"/>
      <c r="AM10" s="50"/>
      <c r="AN10" s="729"/>
      <c r="AO10" s="729"/>
      <c r="AP10" s="744"/>
      <c r="AQ10" s="801" t="s">
        <v>16</v>
      </c>
      <c r="AR10" s="734"/>
      <c r="AS10" s="51"/>
      <c r="AT10" s="51"/>
      <c r="AU10" s="51"/>
      <c r="AV10" s="51"/>
      <c r="AW10" s="51"/>
      <c r="AX10" s="51"/>
      <c r="AY10" s="51"/>
      <c r="AZ10" s="51"/>
      <c r="BA10" s="92"/>
      <c r="BB10" s="92"/>
      <c r="BC10" s="92"/>
    </row>
    <row r="11" spans="1:55" s="1033" customFormat="1" ht="42" customHeight="1" x14ac:dyDescent="0.25">
      <c r="A11" s="801" t="s">
        <v>17</v>
      </c>
      <c r="B11" s="1027" t="s">
        <v>136</v>
      </c>
      <c r="C11" s="1028">
        <f>SUM(C5:C10)</f>
        <v>2651762000</v>
      </c>
      <c r="D11" s="1028">
        <f t="shared" ref="D11:E11" si="12">SUM(D5:D10)</f>
        <v>2653762000</v>
      </c>
      <c r="E11" s="1028">
        <f t="shared" si="12"/>
        <v>2653762000</v>
      </c>
      <c r="F11" s="1028">
        <f t="shared" ref="F11:K11" si="13">SUM(F5:F10)</f>
        <v>0</v>
      </c>
      <c r="G11" s="1028">
        <f t="shared" si="13"/>
        <v>0</v>
      </c>
      <c r="H11" s="1028">
        <f t="shared" si="13"/>
        <v>0</v>
      </c>
      <c r="I11" s="1028">
        <f t="shared" si="13"/>
        <v>0</v>
      </c>
      <c r="J11" s="1028">
        <f t="shared" si="13"/>
        <v>0</v>
      </c>
      <c r="K11" s="1028">
        <f t="shared" si="13"/>
        <v>2651762000</v>
      </c>
      <c r="L11" s="1028">
        <f t="shared" ref="L11" si="14">SUM(L5:L10)</f>
        <v>2653762000</v>
      </c>
      <c r="M11" s="1032">
        <f t="shared" ref="M11" si="15">SUM(M5:M10)</f>
        <v>2653762000</v>
      </c>
      <c r="N11" s="746"/>
      <c r="O11" s="1052" t="s">
        <v>17</v>
      </c>
      <c r="P11" s="1030" t="s">
        <v>135</v>
      </c>
      <c r="Q11" s="1031">
        <f>SUM(Q5:Q10)</f>
        <v>2823320000</v>
      </c>
      <c r="R11" s="1031">
        <f t="shared" ref="R11:AA11" si="16">SUM(R5:R10)</f>
        <v>2863819000</v>
      </c>
      <c r="S11" s="1031">
        <f t="shared" si="16"/>
        <v>2885086592</v>
      </c>
      <c r="T11" s="1031">
        <f t="shared" si="16"/>
        <v>104492000</v>
      </c>
      <c r="U11" s="1031">
        <f t="shared" si="16"/>
        <v>104492000</v>
      </c>
      <c r="V11" s="1031">
        <f t="shared" si="16"/>
        <v>108692000</v>
      </c>
      <c r="W11" s="1031">
        <f t="shared" si="16"/>
        <v>0</v>
      </c>
      <c r="X11" s="1031">
        <f t="shared" si="16"/>
        <v>0</v>
      </c>
      <c r="Y11" s="1031">
        <f t="shared" si="16"/>
        <v>2927812000</v>
      </c>
      <c r="Z11" s="1031">
        <f t="shared" si="16"/>
        <v>2968311000</v>
      </c>
      <c r="AA11" s="1031">
        <f t="shared" si="16"/>
        <v>2993778592</v>
      </c>
      <c r="AB11" s="1031"/>
      <c r="AC11" s="801" t="s">
        <v>17</v>
      </c>
      <c r="AD11" s="1027" t="s">
        <v>140</v>
      </c>
      <c r="AE11" s="1028">
        <f>AE5+AE6+AE7+AE8</f>
        <v>1026257000</v>
      </c>
      <c r="AF11" s="1028">
        <f t="shared" ref="AF11:AO11" si="17">AF5+AF6+AF7+AF8</f>
        <v>1026257000</v>
      </c>
      <c r="AG11" s="1028">
        <f t="shared" si="17"/>
        <v>1026257000</v>
      </c>
      <c r="AH11" s="1028">
        <f t="shared" si="17"/>
        <v>0</v>
      </c>
      <c r="AI11" s="1028">
        <f t="shared" si="17"/>
        <v>0</v>
      </c>
      <c r="AJ11" s="1028">
        <f t="shared" si="17"/>
        <v>0</v>
      </c>
      <c r="AK11" s="1028">
        <f t="shared" si="17"/>
        <v>0</v>
      </c>
      <c r="AL11" s="1028">
        <f t="shared" si="17"/>
        <v>0</v>
      </c>
      <c r="AM11" s="1028">
        <f t="shared" si="17"/>
        <v>1026257000</v>
      </c>
      <c r="AN11" s="1028">
        <f t="shared" si="17"/>
        <v>1026257000</v>
      </c>
      <c r="AO11" s="1028">
        <f t="shared" si="17"/>
        <v>1026257000</v>
      </c>
      <c r="AP11" s="1029"/>
      <c r="AQ11" s="801" t="s">
        <v>17</v>
      </c>
      <c r="AR11" s="1030" t="s">
        <v>249</v>
      </c>
      <c r="AS11" s="1031">
        <f>SUM(AS5:AS10)</f>
        <v>1244231000</v>
      </c>
      <c r="AT11" s="1031">
        <f t="shared" ref="AT11:BC11" si="18">SUM(AT5:AT10)</f>
        <v>1205732000</v>
      </c>
      <c r="AU11" s="1031">
        <f t="shared" si="18"/>
        <v>1177006451</v>
      </c>
      <c r="AV11" s="1031">
        <f t="shared" si="18"/>
        <v>0</v>
      </c>
      <c r="AW11" s="1031">
        <f t="shared" si="18"/>
        <v>0</v>
      </c>
      <c r="AX11" s="1031">
        <f t="shared" si="18"/>
        <v>0</v>
      </c>
      <c r="AY11" s="1031">
        <f t="shared" si="18"/>
        <v>0</v>
      </c>
      <c r="AZ11" s="1031">
        <f t="shared" si="18"/>
        <v>0</v>
      </c>
      <c r="BA11" s="1031">
        <f t="shared" si="18"/>
        <v>1244231000</v>
      </c>
      <c r="BB11" s="1031">
        <f t="shared" si="18"/>
        <v>1205732000</v>
      </c>
      <c r="BC11" s="1031">
        <f t="shared" si="18"/>
        <v>1177006451</v>
      </c>
    </row>
    <row r="12" spans="1:55" s="311" customFormat="1" ht="23.25" customHeight="1" x14ac:dyDescent="0.25">
      <c r="A12" s="801" t="s">
        <v>18</v>
      </c>
      <c r="B12" s="207" t="s">
        <v>116</v>
      </c>
      <c r="C12" s="47">
        <f>C13+C14+C15+C16</f>
        <v>1156310000</v>
      </c>
      <c r="D12" s="47">
        <f>D13+D14+D15+D16</f>
        <v>1147798602</v>
      </c>
      <c r="E12" s="47">
        <f t="shared" ref="E12:J12" si="19">E13+E14+E15+E16</f>
        <v>1147798602</v>
      </c>
      <c r="F12" s="47">
        <f t="shared" si="19"/>
        <v>0</v>
      </c>
      <c r="G12" s="47"/>
      <c r="H12" s="47">
        <f t="shared" si="19"/>
        <v>0</v>
      </c>
      <c r="I12" s="47">
        <f t="shared" si="19"/>
        <v>0</v>
      </c>
      <c r="J12" s="47">
        <f t="shared" si="19"/>
        <v>0</v>
      </c>
      <c r="K12" s="50">
        <f t="shared" ref="K12" si="20">C12+F12+I12</f>
        <v>1156310000</v>
      </c>
      <c r="L12" s="50">
        <f t="shared" ref="L12" si="21">D12+G12+J12</f>
        <v>1147798602</v>
      </c>
      <c r="M12" s="729">
        <f t="shared" ref="M12" si="22">E12+H12+J12</f>
        <v>1147798602</v>
      </c>
      <c r="N12" s="750"/>
      <c r="O12" s="1052" t="s">
        <v>18</v>
      </c>
      <c r="P12" s="735" t="s">
        <v>128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92">
        <f t="shared" ref="Y12" si="23">Q12+T12+W12</f>
        <v>0</v>
      </c>
      <c r="Z12" s="92">
        <f t="shared" ref="Z12" si="24">R12+U12+X12</f>
        <v>0</v>
      </c>
      <c r="AA12" s="92">
        <f t="shared" ref="AA12" si="25">S12+V12+X12</f>
        <v>0</v>
      </c>
      <c r="AB12" s="92"/>
      <c r="AC12" s="801" t="s">
        <v>18</v>
      </c>
      <c r="AD12" s="207" t="s">
        <v>116</v>
      </c>
      <c r="AE12" s="47">
        <f>SUM(AE13:AE16)</f>
        <v>231263000</v>
      </c>
      <c r="AF12" s="47">
        <f t="shared" ref="AF12:AG12" si="26">SUM(AF13:AF16)</f>
        <v>234189000</v>
      </c>
      <c r="AG12" s="47">
        <f t="shared" si="26"/>
        <v>236516441</v>
      </c>
      <c r="AH12" s="47">
        <f t="shared" ref="AH12:AK12" si="27">SUM(AH13:AH16)</f>
        <v>0</v>
      </c>
      <c r="AI12" s="47">
        <f t="shared" ref="AI12:AJ12" si="28">SUM(AI13:AI16)</f>
        <v>0</v>
      </c>
      <c r="AJ12" s="47">
        <f t="shared" si="28"/>
        <v>0</v>
      </c>
      <c r="AK12" s="47">
        <f t="shared" si="27"/>
        <v>0</v>
      </c>
      <c r="AL12" s="47">
        <f t="shared" ref="AL12" si="29">SUM(AL13:AL16)</f>
        <v>0</v>
      </c>
      <c r="AM12" s="50">
        <f>AE12+AH12+AK12</f>
        <v>231263000</v>
      </c>
      <c r="AN12" s="50">
        <f t="shared" ref="AN12" si="30">AF12+AI12+AL12</f>
        <v>234189000</v>
      </c>
      <c r="AO12" s="729">
        <f t="shared" ref="AO12" si="31">AG12+AJ12+AL12</f>
        <v>236516441</v>
      </c>
      <c r="AP12" s="745"/>
      <c r="AQ12" s="801" t="s">
        <v>18</v>
      </c>
      <c r="AR12" s="735" t="s">
        <v>128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92">
        <f t="shared" ref="BA12" si="32">AS12+AV12+AY12</f>
        <v>0</v>
      </c>
      <c r="BB12" s="92">
        <f t="shared" ref="BB12" si="33">AT12+AW12+AZ12</f>
        <v>0</v>
      </c>
      <c r="BC12" s="92">
        <f t="shared" ref="BC12" si="34">AU12+AX12+AZ12</f>
        <v>0</v>
      </c>
    </row>
    <row r="13" spans="1:55" s="305" customFormat="1" ht="22.5" x14ac:dyDescent="0.25">
      <c r="A13" s="801" t="s">
        <v>19</v>
      </c>
      <c r="B13" s="206" t="s">
        <v>117</v>
      </c>
      <c r="C13" s="49">
        <v>0</v>
      </c>
      <c r="D13" s="49">
        <v>0</v>
      </c>
      <c r="E13" s="49"/>
      <c r="F13" s="49">
        <f>'2020. 1.bevkiadfőössz. '!G27</f>
        <v>0</v>
      </c>
      <c r="G13" s="49"/>
      <c r="H13" s="49">
        <f>'2020. 1.bevkiadfőössz. '!J27</f>
        <v>0</v>
      </c>
      <c r="I13" s="49">
        <f>'2020. 1.bevkiadfőössz. '!K27</f>
        <v>0</v>
      </c>
      <c r="J13" s="49">
        <f>'2020. 1.bevkiadfőössz. '!L27</f>
        <v>0</v>
      </c>
      <c r="K13" s="50">
        <f t="shared" ref="K13:K20" si="35">C13+F13+I13</f>
        <v>0</v>
      </c>
      <c r="L13" s="50">
        <f t="shared" ref="L13:L20" si="36">D13+G13+J13</f>
        <v>0</v>
      </c>
      <c r="M13" s="729">
        <f t="shared" ref="M13:M20" si="37">E13+H13+J13</f>
        <v>0</v>
      </c>
      <c r="N13" s="750"/>
      <c r="O13" s="1052" t="s">
        <v>19</v>
      </c>
      <c r="P13" s="736" t="s">
        <v>129</v>
      </c>
      <c r="Q13" s="51">
        <f>'2020. 1.bevkiadfőössz. '!C59</f>
        <v>350000000</v>
      </c>
      <c r="R13" s="51">
        <f>'2020. 1.bevkiadfőössz. '!D59</f>
        <v>350000000</v>
      </c>
      <c r="S13" s="51">
        <f>'2020. 1.bevkiadfőössz. '!E59</f>
        <v>350000000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92">
        <f t="shared" ref="Y13:Y20" si="38">Q13+T13+W13</f>
        <v>350000000</v>
      </c>
      <c r="Z13" s="92">
        <f t="shared" ref="Z13:Z20" si="39">R13+U13+X13</f>
        <v>350000000</v>
      </c>
      <c r="AA13" s="92">
        <f t="shared" ref="AA13:AA20" si="40">S13+V13+X13</f>
        <v>350000000</v>
      </c>
      <c r="AB13" s="92"/>
      <c r="AC13" s="801" t="s">
        <v>19</v>
      </c>
      <c r="AD13" s="206" t="s">
        <v>117</v>
      </c>
      <c r="AE13" s="49">
        <f>'2020. 1.bevkiadfőössz. '!C27</f>
        <v>222000000</v>
      </c>
      <c r="AF13" s="49">
        <f>'2020. 1.bevkiadfőössz. '!D27</f>
        <v>222000000</v>
      </c>
      <c r="AG13" s="49">
        <f>'2020. 1.bevkiadfőössz. '!E27</f>
        <v>218742043</v>
      </c>
      <c r="AH13" s="49">
        <f>'2020. 1.bevkiadfőössz. '!G27</f>
        <v>0</v>
      </c>
      <c r="AI13" s="49">
        <f>'2020. 1.bevkiadfőössz. '!H27</f>
        <v>0</v>
      </c>
      <c r="AJ13" s="49">
        <f>'2020. 1.bevkiadfőössz. '!I27</f>
        <v>0</v>
      </c>
      <c r="AK13" s="49">
        <f>'2020. 1.bevkiadfőössz. '!K27</f>
        <v>0</v>
      </c>
      <c r="AL13" s="49">
        <f>'2020. 1.bevkiadfőössz. '!L27</f>
        <v>0</v>
      </c>
      <c r="AM13" s="50">
        <f t="shared" ref="AM13:AM22" si="41">AE13+AH13+AK13</f>
        <v>222000000</v>
      </c>
      <c r="AN13" s="50">
        <f t="shared" ref="AN13:AN22" si="42">AF13+AI13+AL13</f>
        <v>222000000</v>
      </c>
      <c r="AO13" s="729">
        <f t="shared" ref="AO13:AO22" si="43">AG13+AJ13+AL13</f>
        <v>218742043</v>
      </c>
      <c r="AP13" s="744"/>
      <c r="AQ13" s="801" t="s">
        <v>19</v>
      </c>
      <c r="AR13" s="736" t="s">
        <v>147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92">
        <f t="shared" ref="BA13:BA20" si="44">AS13+AV13+AY13</f>
        <v>0</v>
      </c>
      <c r="BB13" s="92">
        <f t="shared" ref="BB13:BB20" si="45">AT13+AW13+AZ13</f>
        <v>0</v>
      </c>
      <c r="BC13" s="92">
        <f t="shared" ref="BC13:BC20" si="46">AU13+AX13+AZ13</f>
        <v>0</v>
      </c>
    </row>
    <row r="14" spans="1:55" s="305" customFormat="1" ht="23.25" customHeight="1" x14ac:dyDescent="0.25">
      <c r="A14" s="801" t="s">
        <v>20</v>
      </c>
      <c r="B14" s="206" t="s">
        <v>118</v>
      </c>
      <c r="C14" s="49">
        <v>0</v>
      </c>
      <c r="D14" s="49">
        <v>0</v>
      </c>
      <c r="E14" s="49"/>
      <c r="F14" s="49">
        <v>0</v>
      </c>
      <c r="G14" s="49"/>
      <c r="H14" s="49"/>
      <c r="I14" s="49">
        <v>0</v>
      </c>
      <c r="J14" s="49"/>
      <c r="K14" s="50">
        <f t="shared" si="35"/>
        <v>0</v>
      </c>
      <c r="L14" s="50">
        <f t="shared" si="36"/>
        <v>0</v>
      </c>
      <c r="M14" s="729">
        <f t="shared" si="37"/>
        <v>0</v>
      </c>
      <c r="N14" s="750"/>
      <c r="O14" s="1052" t="s">
        <v>20</v>
      </c>
      <c r="P14" s="736" t="s">
        <v>130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92">
        <f t="shared" si="38"/>
        <v>0</v>
      </c>
      <c r="Z14" s="92">
        <f t="shared" si="39"/>
        <v>0</v>
      </c>
      <c r="AA14" s="92">
        <f t="shared" si="40"/>
        <v>0</v>
      </c>
      <c r="AB14" s="92"/>
      <c r="AC14" s="801" t="s">
        <v>20</v>
      </c>
      <c r="AD14" s="206" t="s">
        <v>118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50">
        <f t="shared" si="41"/>
        <v>0</v>
      </c>
      <c r="AN14" s="50">
        <f t="shared" si="42"/>
        <v>0</v>
      </c>
      <c r="AO14" s="729">
        <f t="shared" si="43"/>
        <v>0</v>
      </c>
      <c r="AP14" s="744"/>
      <c r="AQ14" s="801" t="s">
        <v>20</v>
      </c>
      <c r="AR14" s="736" t="s">
        <v>130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92">
        <f t="shared" si="44"/>
        <v>0</v>
      </c>
      <c r="BB14" s="92">
        <f t="shared" si="45"/>
        <v>0</v>
      </c>
      <c r="BC14" s="92">
        <f t="shared" si="46"/>
        <v>0</v>
      </c>
    </row>
    <row r="15" spans="1:55" s="305" customFormat="1" ht="21" customHeight="1" x14ac:dyDescent="0.25">
      <c r="A15" s="801" t="s">
        <v>21</v>
      </c>
      <c r="B15" s="206" t="s">
        <v>119</v>
      </c>
      <c r="C15" s="49">
        <v>0</v>
      </c>
      <c r="D15" s="49">
        <v>0</v>
      </c>
      <c r="E15" s="49"/>
      <c r="F15" s="49">
        <v>0</v>
      </c>
      <c r="G15" s="49"/>
      <c r="H15" s="49"/>
      <c r="I15" s="49">
        <v>0</v>
      </c>
      <c r="J15" s="49"/>
      <c r="K15" s="50">
        <f t="shared" si="35"/>
        <v>0</v>
      </c>
      <c r="L15" s="50">
        <f t="shared" si="36"/>
        <v>0</v>
      </c>
      <c r="M15" s="729">
        <f t="shared" si="37"/>
        <v>0</v>
      </c>
      <c r="N15" s="750"/>
      <c r="O15" s="1052" t="s">
        <v>21</v>
      </c>
      <c r="P15" s="736" t="s">
        <v>131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92">
        <f t="shared" si="38"/>
        <v>0</v>
      </c>
      <c r="Z15" s="92">
        <f t="shared" si="39"/>
        <v>0</v>
      </c>
      <c r="AA15" s="92">
        <f t="shared" si="40"/>
        <v>0</v>
      </c>
      <c r="AB15" s="92"/>
      <c r="AC15" s="801" t="s">
        <v>21</v>
      </c>
      <c r="AD15" s="206" t="s">
        <v>119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50">
        <f t="shared" si="41"/>
        <v>0</v>
      </c>
      <c r="AN15" s="50">
        <f t="shared" si="42"/>
        <v>0</v>
      </c>
      <c r="AO15" s="729">
        <f t="shared" si="43"/>
        <v>0</v>
      </c>
      <c r="AP15" s="744"/>
      <c r="AQ15" s="801" t="s">
        <v>21</v>
      </c>
      <c r="AR15" s="737" t="s">
        <v>131</v>
      </c>
      <c r="AS15" s="74">
        <f>'2020. 1.bevkiadfőössz. '!C58</f>
        <v>77976000</v>
      </c>
      <c r="AT15" s="74">
        <f>'2020. 1.bevkiadfőössz. '!D58</f>
        <v>77976000</v>
      </c>
      <c r="AU15" s="74">
        <f>'2020. 1.bevkiadfőössz. '!E58</f>
        <v>77976000</v>
      </c>
      <c r="AV15" s="74">
        <f>'2020. 1.bevkiadfőössz. '!G58</f>
        <v>0</v>
      </c>
      <c r="AW15" s="74">
        <f>'2020. 1.bevkiadfőössz. '!H58</f>
        <v>0</v>
      </c>
      <c r="AX15" s="74">
        <f>'2020. 1.bevkiadfőössz. '!I58</f>
        <v>0</v>
      </c>
      <c r="AY15" s="74">
        <f>'2020. 1.bevkiadfőössz. '!K58</f>
        <v>0</v>
      </c>
      <c r="AZ15" s="74">
        <f>'2020. 1.bevkiadfőössz. '!L58</f>
        <v>0</v>
      </c>
      <c r="BA15" s="92">
        <f t="shared" si="44"/>
        <v>77976000</v>
      </c>
      <c r="BB15" s="92">
        <f t="shared" si="45"/>
        <v>77976000</v>
      </c>
      <c r="BC15" s="92">
        <f t="shared" si="46"/>
        <v>77976000</v>
      </c>
    </row>
    <row r="16" spans="1:55" s="305" customFormat="1" ht="23.25" customHeight="1" x14ac:dyDescent="0.25">
      <c r="A16" s="801" t="s">
        <v>22</v>
      </c>
      <c r="B16" s="206" t="s">
        <v>120</v>
      </c>
      <c r="C16" s="304">
        <f>'2020. 1.bevkiadfőössz. '!C29-AE16</f>
        <v>1156310000</v>
      </c>
      <c r="D16" s="304">
        <f>'2020. 1.bevkiadfőössz. '!D29-AG16</f>
        <v>1147798602</v>
      </c>
      <c r="E16" s="304">
        <f>'2020. 1.bevkiadfőössz. '!D29-AG16</f>
        <v>1147798602</v>
      </c>
      <c r="F16" s="49">
        <v>0</v>
      </c>
      <c r="G16" s="49"/>
      <c r="H16" s="49"/>
      <c r="I16" s="47">
        <v>0</v>
      </c>
      <c r="J16" s="47"/>
      <c r="K16" s="50">
        <f t="shared" si="35"/>
        <v>1156310000</v>
      </c>
      <c r="L16" s="50">
        <f t="shared" si="36"/>
        <v>1147798602</v>
      </c>
      <c r="M16" s="729">
        <f t="shared" si="37"/>
        <v>1147798602</v>
      </c>
      <c r="N16" s="750"/>
      <c r="O16" s="1052" t="s">
        <v>22</v>
      </c>
      <c r="P16" s="736" t="s">
        <v>132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92">
        <f t="shared" si="38"/>
        <v>0</v>
      </c>
      <c r="Z16" s="92">
        <f t="shared" si="39"/>
        <v>0</v>
      </c>
      <c r="AA16" s="92">
        <f t="shared" si="40"/>
        <v>0</v>
      </c>
      <c r="AB16" s="92"/>
      <c r="AC16" s="801" t="s">
        <v>22</v>
      </c>
      <c r="AD16" s="206" t="s">
        <v>120</v>
      </c>
      <c r="AE16" s="49">
        <f>'3. INT összes'!C50</f>
        <v>9263000</v>
      </c>
      <c r="AF16" s="49">
        <f>'3. INT összes'!D50</f>
        <v>12189000</v>
      </c>
      <c r="AG16" s="49">
        <f>'3. INT összes'!E50</f>
        <v>17774398</v>
      </c>
      <c r="AH16" s="49">
        <f>'2020. 1.bevkiadfőössz. '!G62</f>
        <v>0</v>
      </c>
      <c r="AI16" s="49">
        <f>'2020. 1.bevkiadfőössz. '!H62</f>
        <v>0</v>
      </c>
      <c r="AJ16" s="49">
        <f>'2020. 1.bevkiadfőössz. '!I62</f>
        <v>0</v>
      </c>
      <c r="AK16" s="49">
        <f>'2020. 1.bevkiadfőössz. '!K62</f>
        <v>0</v>
      </c>
      <c r="AL16" s="49">
        <f>'2020. 1.bevkiadfőössz. '!L62</f>
        <v>0</v>
      </c>
      <c r="AM16" s="50">
        <f t="shared" si="41"/>
        <v>9263000</v>
      </c>
      <c r="AN16" s="50">
        <f t="shared" si="42"/>
        <v>12189000</v>
      </c>
      <c r="AO16" s="729">
        <f t="shared" si="43"/>
        <v>17774398</v>
      </c>
      <c r="AP16" s="744"/>
      <c r="AQ16" s="801" t="s">
        <v>22</v>
      </c>
      <c r="AR16" s="736" t="s">
        <v>132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92">
        <f t="shared" si="44"/>
        <v>0</v>
      </c>
      <c r="BB16" s="92">
        <f t="shared" si="45"/>
        <v>0</v>
      </c>
      <c r="BC16" s="92">
        <f t="shared" si="46"/>
        <v>0</v>
      </c>
    </row>
    <row r="17" spans="1:55" s="311" customFormat="1" ht="22.5" x14ac:dyDescent="0.25">
      <c r="A17" s="801" t="s">
        <v>23</v>
      </c>
      <c r="B17" s="207" t="s">
        <v>121</v>
      </c>
      <c r="C17" s="47">
        <f>C18+C19+C20</f>
        <v>392637000</v>
      </c>
      <c r="D17" s="47">
        <f>D18+D19+D20</f>
        <v>392636786</v>
      </c>
      <c r="E17" s="47">
        <f t="shared" ref="E17:J17" si="47">E18+E19+E20</f>
        <v>392636786</v>
      </c>
      <c r="F17" s="47">
        <f t="shared" si="47"/>
        <v>0</v>
      </c>
      <c r="G17" s="47"/>
      <c r="H17" s="47">
        <f t="shared" si="47"/>
        <v>0</v>
      </c>
      <c r="I17" s="47">
        <f t="shared" si="47"/>
        <v>0</v>
      </c>
      <c r="J17" s="47">
        <f t="shared" si="47"/>
        <v>0</v>
      </c>
      <c r="K17" s="50">
        <f t="shared" si="35"/>
        <v>392637000</v>
      </c>
      <c r="L17" s="50">
        <f t="shared" si="36"/>
        <v>392636786</v>
      </c>
      <c r="M17" s="729">
        <f t="shared" si="37"/>
        <v>392636786</v>
      </c>
      <c r="N17" s="750"/>
      <c r="O17" s="1052" t="s">
        <v>23</v>
      </c>
      <c r="P17" s="735" t="s">
        <v>133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92">
        <f t="shared" si="38"/>
        <v>0</v>
      </c>
      <c r="Z17" s="92">
        <f t="shared" si="39"/>
        <v>0</v>
      </c>
      <c r="AA17" s="92">
        <f t="shared" si="40"/>
        <v>0</v>
      </c>
      <c r="AB17" s="92"/>
      <c r="AC17" s="801" t="s">
        <v>23</v>
      </c>
      <c r="AD17" s="207" t="s">
        <v>121</v>
      </c>
      <c r="AE17" s="47">
        <f>AE18+AE19+AE20+AE21+AE22</f>
        <v>350000000</v>
      </c>
      <c r="AF17" s="47">
        <f t="shared" ref="AF17:AG17" si="48">AF18+AF19+AF20+AF21+AF22</f>
        <v>350000000</v>
      </c>
      <c r="AG17" s="47">
        <f t="shared" si="48"/>
        <v>350000000</v>
      </c>
      <c r="AH17" s="47">
        <f t="shared" ref="AH17:AK17" si="49">AH18+AH19+AH20+AH21+AH22</f>
        <v>0</v>
      </c>
      <c r="AI17" s="47">
        <f t="shared" ref="AI17:AJ17" si="50">AI18+AI19+AI20+AI21+AI22</f>
        <v>0</v>
      </c>
      <c r="AJ17" s="47">
        <f t="shared" si="50"/>
        <v>0</v>
      </c>
      <c r="AK17" s="47">
        <f t="shared" si="49"/>
        <v>0</v>
      </c>
      <c r="AL17" s="47">
        <f t="shared" ref="AL17" si="51">AL18+AL19+AL20+AL21+AL22</f>
        <v>0</v>
      </c>
      <c r="AM17" s="50">
        <f t="shared" si="41"/>
        <v>350000000</v>
      </c>
      <c r="AN17" s="50">
        <f t="shared" si="42"/>
        <v>350000000</v>
      </c>
      <c r="AO17" s="729">
        <f t="shared" si="43"/>
        <v>350000000</v>
      </c>
      <c r="AP17" s="745"/>
      <c r="AQ17" s="801" t="s">
        <v>23</v>
      </c>
      <c r="AR17" s="735" t="s">
        <v>148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92">
        <f t="shared" si="44"/>
        <v>0</v>
      </c>
      <c r="BB17" s="92">
        <f t="shared" si="45"/>
        <v>0</v>
      </c>
      <c r="BC17" s="92">
        <f t="shared" si="46"/>
        <v>0</v>
      </c>
    </row>
    <row r="18" spans="1:55" s="305" customFormat="1" ht="22.5" x14ac:dyDescent="0.25">
      <c r="A18" s="801" t="s">
        <v>24</v>
      </c>
      <c r="B18" s="206" t="s">
        <v>408</v>
      </c>
      <c r="C18" s="304">
        <f>'2020. 1.bevkiadfőössz. '!C25</f>
        <v>350000000</v>
      </c>
      <c r="D18" s="304">
        <f>'2020. 1.bevkiadfőössz. '!D25</f>
        <v>350000000</v>
      </c>
      <c r="E18" s="304">
        <f>'2020. 1.bevkiadfőössz. '!D25</f>
        <v>350000000</v>
      </c>
      <c r="F18" s="49">
        <f>'2020. 1.bevkiadfőössz. '!G25</f>
        <v>0</v>
      </c>
      <c r="G18" s="49"/>
      <c r="H18" s="49">
        <f>'2020. 1.bevkiadfőössz. '!J25</f>
        <v>0</v>
      </c>
      <c r="I18" s="49">
        <f>'2020. 1.bevkiadfőössz. '!K25</f>
        <v>0</v>
      </c>
      <c r="J18" s="49">
        <f>'2020. 1.bevkiadfőössz. '!L25</f>
        <v>0</v>
      </c>
      <c r="K18" s="50">
        <f t="shared" si="35"/>
        <v>350000000</v>
      </c>
      <c r="L18" s="50">
        <f t="shared" si="36"/>
        <v>350000000</v>
      </c>
      <c r="M18" s="729">
        <f t="shared" si="37"/>
        <v>350000000</v>
      </c>
      <c r="N18" s="750"/>
      <c r="O18" s="1052" t="s">
        <v>24</v>
      </c>
      <c r="P18" s="736" t="s">
        <v>134</v>
      </c>
      <c r="Q18" s="51"/>
      <c r="R18" s="51"/>
      <c r="S18" s="51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92">
        <f t="shared" si="38"/>
        <v>0</v>
      </c>
      <c r="Z18" s="92">
        <f t="shared" si="39"/>
        <v>0</v>
      </c>
      <c r="AA18" s="92">
        <f t="shared" si="40"/>
        <v>0</v>
      </c>
      <c r="AB18" s="92"/>
      <c r="AC18" s="801" t="s">
        <v>24</v>
      </c>
      <c r="AD18" s="206" t="s">
        <v>141</v>
      </c>
      <c r="AE18" s="49">
        <f>'2020. 1.bevkiadfőössz. '!C24</f>
        <v>350000000</v>
      </c>
      <c r="AF18" s="49">
        <f>'2020. 1.bevkiadfőössz. '!D24</f>
        <v>350000000</v>
      </c>
      <c r="AG18" s="49">
        <f>'2020. 1.bevkiadfőössz. '!E24</f>
        <v>350000000</v>
      </c>
      <c r="AH18" s="49">
        <f>'2020. 1.bevkiadfőössz. '!G24</f>
        <v>0</v>
      </c>
      <c r="AI18" s="49">
        <f>'2020. 1.bevkiadfőössz. '!H24</f>
        <v>0</v>
      </c>
      <c r="AJ18" s="49">
        <f>'2020. 1.bevkiadfőössz. '!I24</f>
        <v>0</v>
      </c>
      <c r="AK18" s="49">
        <f>'2020. 1.bevkiadfőössz. '!K24</f>
        <v>0</v>
      </c>
      <c r="AL18" s="49">
        <f>'2020. 1.bevkiadfőössz. '!L24</f>
        <v>0</v>
      </c>
      <c r="AM18" s="50">
        <f t="shared" si="41"/>
        <v>350000000</v>
      </c>
      <c r="AN18" s="50">
        <f t="shared" si="42"/>
        <v>350000000</v>
      </c>
      <c r="AO18" s="729">
        <f t="shared" si="43"/>
        <v>350000000</v>
      </c>
      <c r="AP18" s="744"/>
      <c r="AQ18" s="801" t="s">
        <v>24</v>
      </c>
      <c r="AR18" s="736" t="s">
        <v>134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92">
        <f t="shared" si="44"/>
        <v>0</v>
      </c>
      <c r="BB18" s="92">
        <f t="shared" si="45"/>
        <v>0</v>
      </c>
      <c r="BC18" s="92">
        <f t="shared" si="46"/>
        <v>0</v>
      </c>
    </row>
    <row r="19" spans="1:55" s="305" customFormat="1" ht="22.5" x14ac:dyDescent="0.25">
      <c r="A19" s="801" t="s">
        <v>25</v>
      </c>
      <c r="B19" s="208" t="s">
        <v>122</v>
      </c>
      <c r="C19" s="69"/>
      <c r="D19" s="69"/>
      <c r="E19" s="69"/>
      <c r="F19" s="69">
        <v>0</v>
      </c>
      <c r="G19" s="69"/>
      <c r="H19" s="69"/>
      <c r="I19" s="69">
        <v>0</v>
      </c>
      <c r="J19" s="69"/>
      <c r="K19" s="50">
        <f t="shared" si="35"/>
        <v>0</v>
      </c>
      <c r="L19" s="50">
        <f t="shared" si="36"/>
        <v>0</v>
      </c>
      <c r="M19" s="729">
        <f t="shared" si="37"/>
        <v>0</v>
      </c>
      <c r="N19" s="750"/>
      <c r="O19" s="1052" t="s">
        <v>25</v>
      </c>
      <c r="P19" s="737" t="s">
        <v>104</v>
      </c>
      <c r="Q19" s="49">
        <f>+C16</f>
        <v>1156310000</v>
      </c>
      <c r="R19" s="49">
        <f>+D16</f>
        <v>1147798602</v>
      </c>
      <c r="S19" s="49">
        <f>+E16</f>
        <v>1147798602</v>
      </c>
      <c r="T19" s="74">
        <v>0</v>
      </c>
      <c r="U19" s="74">
        <v>0</v>
      </c>
      <c r="V19" s="74">
        <v>0</v>
      </c>
      <c r="W19" s="73">
        <v>0</v>
      </c>
      <c r="X19" s="73">
        <v>0</v>
      </c>
      <c r="Y19" s="92">
        <f t="shared" si="38"/>
        <v>1156310000</v>
      </c>
      <c r="Z19" s="92">
        <f t="shared" si="39"/>
        <v>1147798602</v>
      </c>
      <c r="AA19" s="92">
        <f t="shared" si="40"/>
        <v>1147798602</v>
      </c>
      <c r="AB19" s="92"/>
      <c r="AC19" s="801" t="s">
        <v>25</v>
      </c>
      <c r="AD19" s="208" t="s">
        <v>142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50">
        <f t="shared" si="41"/>
        <v>0</v>
      </c>
      <c r="AN19" s="50">
        <f t="shared" si="42"/>
        <v>0</v>
      </c>
      <c r="AO19" s="729">
        <f t="shared" si="43"/>
        <v>0</v>
      </c>
      <c r="AP19" s="744"/>
      <c r="AQ19" s="801" t="s">
        <v>25</v>
      </c>
      <c r="AR19" s="737" t="s">
        <v>149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92">
        <f t="shared" si="44"/>
        <v>0</v>
      </c>
      <c r="BB19" s="92">
        <f t="shared" si="45"/>
        <v>0</v>
      </c>
      <c r="BC19" s="92">
        <f t="shared" si="46"/>
        <v>0</v>
      </c>
    </row>
    <row r="20" spans="1:55" s="305" customFormat="1" ht="22.5" x14ac:dyDescent="0.25">
      <c r="A20" s="801" t="s">
        <v>26</v>
      </c>
      <c r="B20" s="206" t="s">
        <v>592</v>
      </c>
      <c r="C20" s="49">
        <f>'2020. 1.bevkiadfőössz. '!C31</f>
        <v>42637000</v>
      </c>
      <c r="D20" s="49">
        <f>'2020. 1.bevkiadfőössz. '!D31</f>
        <v>42636786</v>
      </c>
      <c r="E20" s="49">
        <f>'2020. 1.bevkiadfőössz. '!D31</f>
        <v>42636786</v>
      </c>
      <c r="F20" s="49">
        <v>0</v>
      </c>
      <c r="G20" s="49"/>
      <c r="H20" s="49"/>
      <c r="I20" s="49">
        <v>0</v>
      </c>
      <c r="J20" s="49"/>
      <c r="K20" s="50">
        <f t="shared" si="35"/>
        <v>42637000</v>
      </c>
      <c r="L20" s="50">
        <f t="shared" si="36"/>
        <v>42636786</v>
      </c>
      <c r="M20" s="729">
        <f t="shared" si="37"/>
        <v>42636786</v>
      </c>
      <c r="N20" s="750"/>
      <c r="O20" s="1052" t="s">
        <v>26</v>
      </c>
      <c r="P20" s="737" t="s">
        <v>308</v>
      </c>
      <c r="Q20" s="49">
        <f>'2020. 1.bevkiadfőössz. '!C60</f>
        <v>42637000</v>
      </c>
      <c r="R20" s="49">
        <f>'2020. 1.bevkiadfőössz. '!D60</f>
        <v>42636786</v>
      </c>
      <c r="S20" s="49">
        <f>'2020. 1.bevkiadfőössz. '!E60</f>
        <v>42636786</v>
      </c>
      <c r="T20" s="49">
        <f>'2020. 1.bevkiadfőössz. '!G60</f>
        <v>0</v>
      </c>
      <c r="U20" s="49">
        <f>'2020. 1.bevkiadfőössz. '!H60</f>
        <v>0</v>
      </c>
      <c r="V20" s="49">
        <f>'2020. 1.bevkiadfőössz. '!I60</f>
        <v>0</v>
      </c>
      <c r="W20" s="49">
        <f>'2020. 1.bevkiadfőössz. '!K60</f>
        <v>0</v>
      </c>
      <c r="X20" s="49">
        <f>'2020. 1.bevkiadfőössz. '!L60</f>
        <v>0</v>
      </c>
      <c r="Y20" s="92">
        <f t="shared" si="38"/>
        <v>42637000</v>
      </c>
      <c r="Z20" s="92">
        <f t="shared" si="39"/>
        <v>42636786</v>
      </c>
      <c r="AA20" s="92">
        <f t="shared" si="40"/>
        <v>42636786</v>
      </c>
      <c r="AB20" s="92"/>
      <c r="AC20" s="801" t="s">
        <v>26</v>
      </c>
      <c r="AD20" s="206" t="s">
        <v>143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50">
        <f t="shared" si="41"/>
        <v>0</v>
      </c>
      <c r="AN20" s="50">
        <f t="shared" si="42"/>
        <v>0</v>
      </c>
      <c r="AO20" s="729">
        <f t="shared" si="43"/>
        <v>0</v>
      </c>
      <c r="AP20" s="744"/>
      <c r="AQ20" s="801" t="s">
        <v>26</v>
      </c>
      <c r="AR20" s="737" t="s">
        <v>104</v>
      </c>
      <c r="AS20" s="52">
        <f>+AE16</f>
        <v>9263000</v>
      </c>
      <c r="AT20" s="52">
        <f>+AF16</f>
        <v>12189000</v>
      </c>
      <c r="AU20" s="52">
        <f>+AG16</f>
        <v>17774398</v>
      </c>
      <c r="AV20" s="52"/>
      <c r="AW20" s="52"/>
      <c r="AX20" s="52"/>
      <c r="AY20" s="52"/>
      <c r="AZ20" s="52"/>
      <c r="BA20" s="92">
        <f t="shared" si="44"/>
        <v>9263000</v>
      </c>
      <c r="BB20" s="92">
        <f t="shared" si="45"/>
        <v>12189000</v>
      </c>
      <c r="BC20" s="92">
        <f t="shared" si="46"/>
        <v>17774398</v>
      </c>
    </row>
    <row r="21" spans="1:55" s="306" customFormat="1" ht="14.1" customHeight="1" x14ac:dyDescent="0.25">
      <c r="A21" s="801" t="s">
        <v>27</v>
      </c>
      <c r="B21" s="309"/>
      <c r="C21" s="51"/>
      <c r="D21" s="51"/>
      <c r="E21" s="51"/>
      <c r="F21" s="51"/>
      <c r="G21" s="51"/>
      <c r="H21" s="51"/>
      <c r="I21" s="51"/>
      <c r="J21" s="51"/>
      <c r="K21" s="50"/>
      <c r="L21" s="729"/>
      <c r="M21" s="729"/>
      <c r="N21" s="750"/>
      <c r="O21" s="1052" t="s">
        <v>27</v>
      </c>
      <c r="P21" s="738"/>
      <c r="Q21" s="48"/>
      <c r="R21" s="48"/>
      <c r="S21" s="48"/>
      <c r="T21" s="71"/>
      <c r="U21" s="71"/>
      <c r="V21" s="71"/>
      <c r="W21" s="71"/>
      <c r="X21" s="71"/>
      <c r="Y21" s="92"/>
      <c r="Z21" s="92"/>
      <c r="AA21" s="92"/>
      <c r="AB21" s="92"/>
      <c r="AC21" s="801" t="s">
        <v>27</v>
      </c>
      <c r="AD21" s="203" t="s">
        <v>144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0">
        <f t="shared" si="41"/>
        <v>0</v>
      </c>
      <c r="AN21" s="50">
        <f t="shared" si="42"/>
        <v>0</v>
      </c>
      <c r="AO21" s="729">
        <f t="shared" si="43"/>
        <v>0</v>
      </c>
      <c r="AP21" s="744"/>
      <c r="AQ21" s="801" t="s">
        <v>27</v>
      </c>
      <c r="AR21" s="738"/>
      <c r="AS21" s="48"/>
      <c r="AT21" s="48"/>
      <c r="AU21" s="48"/>
      <c r="AV21" s="76"/>
      <c r="AW21" s="76"/>
      <c r="AX21" s="76"/>
      <c r="AY21" s="76"/>
      <c r="AZ21" s="76"/>
      <c r="BA21" s="92"/>
      <c r="BB21" s="92"/>
      <c r="BC21" s="92"/>
    </row>
    <row r="22" spans="1:55" s="306" customFormat="1" ht="14.1" customHeight="1" x14ac:dyDescent="0.25">
      <c r="A22" s="801" t="s">
        <v>28</v>
      </c>
      <c r="B22" s="209"/>
      <c r="C22" s="51"/>
      <c r="D22" s="51"/>
      <c r="E22" s="51"/>
      <c r="F22" s="51"/>
      <c r="G22" s="51"/>
      <c r="H22" s="51"/>
      <c r="I22" s="51"/>
      <c r="J22" s="51"/>
      <c r="K22" s="50"/>
      <c r="L22" s="729"/>
      <c r="M22" s="729"/>
      <c r="N22" s="750"/>
      <c r="O22" s="1052" t="s">
        <v>28</v>
      </c>
      <c r="P22" s="739"/>
      <c r="Q22" s="52"/>
      <c r="R22" s="52"/>
      <c r="S22" s="52"/>
      <c r="T22" s="52"/>
      <c r="U22" s="52"/>
      <c r="V22" s="52"/>
      <c r="W22" s="52"/>
      <c r="X22" s="52"/>
      <c r="Y22" s="92"/>
      <c r="Z22" s="92"/>
      <c r="AA22" s="92"/>
      <c r="AB22" s="92"/>
      <c r="AC22" s="801" t="s">
        <v>28</v>
      </c>
      <c r="AD22" s="203" t="s">
        <v>123</v>
      </c>
      <c r="AE22" s="75">
        <v>0</v>
      </c>
      <c r="AF22" s="75">
        <v>0</v>
      </c>
      <c r="AG22" s="75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0">
        <f t="shared" si="41"/>
        <v>0</v>
      </c>
      <c r="AN22" s="50">
        <f t="shared" si="42"/>
        <v>0</v>
      </c>
      <c r="AO22" s="729">
        <f t="shared" si="43"/>
        <v>0</v>
      </c>
      <c r="AP22" s="744"/>
      <c r="AQ22" s="801" t="s">
        <v>28</v>
      </c>
      <c r="AR22" s="739"/>
      <c r="AS22" s="52"/>
      <c r="AT22" s="52"/>
      <c r="AU22" s="52"/>
      <c r="AV22" s="52"/>
      <c r="AW22" s="52"/>
      <c r="AX22" s="52"/>
      <c r="AY22" s="52"/>
      <c r="AZ22" s="52"/>
      <c r="BA22" s="92"/>
      <c r="BB22" s="92"/>
      <c r="BC22" s="92"/>
    </row>
    <row r="23" spans="1:55" s="1036" customFormat="1" ht="33.75" x14ac:dyDescent="0.25">
      <c r="A23" s="801" t="s">
        <v>29</v>
      </c>
      <c r="B23" s="1027" t="s">
        <v>124</v>
      </c>
      <c r="C23" s="1031">
        <f>C12+C17</f>
        <v>1548947000</v>
      </c>
      <c r="D23" s="1031">
        <f>D12+D17</f>
        <v>1540435388</v>
      </c>
      <c r="E23" s="1031">
        <f t="shared" ref="E23:K23" si="52">E12+E17</f>
        <v>1540435388</v>
      </c>
      <c r="F23" s="1031">
        <f t="shared" si="52"/>
        <v>0</v>
      </c>
      <c r="G23" s="1031"/>
      <c r="H23" s="1031">
        <f t="shared" si="52"/>
        <v>0</v>
      </c>
      <c r="I23" s="1031">
        <f t="shared" si="52"/>
        <v>0</v>
      </c>
      <c r="J23" s="1031">
        <f t="shared" si="52"/>
        <v>0</v>
      </c>
      <c r="K23" s="1031">
        <f t="shared" si="52"/>
        <v>1548947000</v>
      </c>
      <c r="L23" s="1031">
        <f t="shared" ref="L23:M23" si="53">L12+L17</f>
        <v>1540435388</v>
      </c>
      <c r="M23" s="1034">
        <f t="shared" si="53"/>
        <v>1540435388</v>
      </c>
      <c r="N23" s="1058"/>
      <c r="O23" s="1052" t="s">
        <v>29</v>
      </c>
      <c r="P23" s="1030" t="s">
        <v>125</v>
      </c>
      <c r="Q23" s="1031">
        <f>SUM(Q12:Q22)</f>
        <v>1548947000</v>
      </c>
      <c r="R23" s="1031">
        <f t="shared" ref="R23:AA23" si="54">SUM(R12:R22)</f>
        <v>1540435388</v>
      </c>
      <c r="S23" s="1031">
        <f t="shared" si="54"/>
        <v>1540435388</v>
      </c>
      <c r="T23" s="1031">
        <f t="shared" si="54"/>
        <v>0</v>
      </c>
      <c r="U23" s="1031">
        <f t="shared" si="54"/>
        <v>0</v>
      </c>
      <c r="V23" s="1031">
        <f t="shared" si="54"/>
        <v>0</v>
      </c>
      <c r="W23" s="1031">
        <f t="shared" si="54"/>
        <v>0</v>
      </c>
      <c r="X23" s="1031">
        <f t="shared" si="54"/>
        <v>0</v>
      </c>
      <c r="Y23" s="1031">
        <f t="shared" si="54"/>
        <v>1548947000</v>
      </c>
      <c r="Z23" s="1031">
        <f t="shared" si="54"/>
        <v>1540435388</v>
      </c>
      <c r="AA23" s="1031">
        <f t="shared" si="54"/>
        <v>1540435388</v>
      </c>
      <c r="AB23" s="1031"/>
      <c r="AC23" s="801" t="s">
        <v>29</v>
      </c>
      <c r="AD23" s="1027" t="s">
        <v>145</v>
      </c>
      <c r="AE23" s="1031">
        <f>AE12+AE17</f>
        <v>581263000</v>
      </c>
      <c r="AF23" s="1031">
        <f t="shared" ref="AF23:AO23" si="55">AF12+AF17</f>
        <v>584189000</v>
      </c>
      <c r="AG23" s="1031">
        <f t="shared" si="55"/>
        <v>586516441</v>
      </c>
      <c r="AH23" s="1031">
        <f t="shared" si="55"/>
        <v>0</v>
      </c>
      <c r="AI23" s="1031">
        <f t="shared" si="55"/>
        <v>0</v>
      </c>
      <c r="AJ23" s="1031">
        <f t="shared" si="55"/>
        <v>0</v>
      </c>
      <c r="AK23" s="1031">
        <f t="shared" si="55"/>
        <v>0</v>
      </c>
      <c r="AL23" s="1031">
        <f t="shared" si="55"/>
        <v>0</v>
      </c>
      <c r="AM23" s="1031">
        <f t="shared" si="55"/>
        <v>581263000</v>
      </c>
      <c r="AN23" s="1031">
        <f t="shared" si="55"/>
        <v>584189000</v>
      </c>
      <c r="AO23" s="1031">
        <f t="shared" si="55"/>
        <v>586516441</v>
      </c>
      <c r="AP23" s="1035"/>
      <c r="AQ23" s="801" t="s">
        <v>29</v>
      </c>
      <c r="AR23" s="1030" t="s">
        <v>150</v>
      </c>
      <c r="AS23" s="1031">
        <f>SUM(AS12:AS22)</f>
        <v>87239000</v>
      </c>
      <c r="AT23" s="1031">
        <f t="shared" ref="AT23:BC23" si="56">SUM(AT12:AT22)</f>
        <v>90165000</v>
      </c>
      <c r="AU23" s="1031">
        <f t="shared" si="56"/>
        <v>95750398</v>
      </c>
      <c r="AV23" s="1031">
        <f t="shared" si="56"/>
        <v>0</v>
      </c>
      <c r="AW23" s="1031">
        <f t="shared" si="56"/>
        <v>0</v>
      </c>
      <c r="AX23" s="1031">
        <f t="shared" si="56"/>
        <v>0</v>
      </c>
      <c r="AY23" s="1031">
        <f t="shared" si="56"/>
        <v>0</v>
      </c>
      <c r="AZ23" s="1031">
        <f t="shared" si="56"/>
        <v>0</v>
      </c>
      <c r="BA23" s="1031">
        <f t="shared" si="56"/>
        <v>87239000</v>
      </c>
      <c r="BB23" s="1031">
        <f t="shared" si="56"/>
        <v>90165000</v>
      </c>
      <c r="BC23" s="1031">
        <f t="shared" si="56"/>
        <v>95750398</v>
      </c>
    </row>
    <row r="24" spans="1:55" s="1044" customFormat="1" ht="30.75" customHeight="1" x14ac:dyDescent="0.25">
      <c r="A24" s="801" t="s">
        <v>209</v>
      </c>
      <c r="B24" s="1037" t="s">
        <v>126</v>
      </c>
      <c r="C24" s="1038">
        <f>C11+C23</f>
        <v>4200709000</v>
      </c>
      <c r="D24" s="1038">
        <f>D11+D23</f>
        <v>4194197388</v>
      </c>
      <c r="E24" s="1038">
        <f t="shared" ref="E24:K24" si="57">E11+E23</f>
        <v>4194197388</v>
      </c>
      <c r="F24" s="1038">
        <f t="shared" si="57"/>
        <v>0</v>
      </c>
      <c r="G24" s="1038"/>
      <c r="H24" s="1038">
        <f t="shared" si="57"/>
        <v>0</v>
      </c>
      <c r="I24" s="1038">
        <f t="shared" si="57"/>
        <v>0</v>
      </c>
      <c r="J24" s="1038">
        <f t="shared" si="57"/>
        <v>0</v>
      </c>
      <c r="K24" s="1038">
        <f t="shared" si="57"/>
        <v>4200709000</v>
      </c>
      <c r="L24" s="1038">
        <f t="shared" ref="L24:M24" si="58">L11+L23</f>
        <v>4194197388</v>
      </c>
      <c r="M24" s="1039">
        <f t="shared" si="58"/>
        <v>4194197388</v>
      </c>
      <c r="N24" s="747"/>
      <c r="O24" s="1052" t="s">
        <v>209</v>
      </c>
      <c r="P24" s="1041" t="s">
        <v>137</v>
      </c>
      <c r="Q24" s="1042">
        <f>Q11+Q23</f>
        <v>4372267000</v>
      </c>
      <c r="R24" s="1042">
        <f t="shared" ref="R24:AA24" si="59">R11+R23</f>
        <v>4404254388</v>
      </c>
      <c r="S24" s="1042">
        <f t="shared" si="59"/>
        <v>4425521980</v>
      </c>
      <c r="T24" s="1042">
        <f t="shared" si="59"/>
        <v>104492000</v>
      </c>
      <c r="U24" s="1042">
        <f t="shared" si="59"/>
        <v>104492000</v>
      </c>
      <c r="V24" s="1042">
        <f t="shared" si="59"/>
        <v>108692000</v>
      </c>
      <c r="W24" s="1042">
        <f t="shared" si="59"/>
        <v>0</v>
      </c>
      <c r="X24" s="1042">
        <f t="shared" si="59"/>
        <v>0</v>
      </c>
      <c r="Y24" s="1042">
        <f t="shared" si="59"/>
        <v>4476759000</v>
      </c>
      <c r="Z24" s="1042">
        <f t="shared" si="59"/>
        <v>4508746388</v>
      </c>
      <c r="AA24" s="1042">
        <f t="shared" si="59"/>
        <v>4534213980</v>
      </c>
      <c r="AB24" s="1042"/>
      <c r="AC24" s="801" t="s">
        <v>209</v>
      </c>
      <c r="AD24" s="1037" t="s">
        <v>126</v>
      </c>
      <c r="AE24" s="1038">
        <f>AE11+AE23</f>
        <v>1607520000</v>
      </c>
      <c r="AF24" s="1038">
        <f t="shared" ref="AF24:AO24" si="60">AF11+AF23</f>
        <v>1610446000</v>
      </c>
      <c r="AG24" s="1038">
        <f t="shared" si="60"/>
        <v>1612773441</v>
      </c>
      <c r="AH24" s="1038">
        <f t="shared" si="60"/>
        <v>0</v>
      </c>
      <c r="AI24" s="1038">
        <f t="shared" si="60"/>
        <v>0</v>
      </c>
      <c r="AJ24" s="1038">
        <f t="shared" si="60"/>
        <v>0</v>
      </c>
      <c r="AK24" s="1038">
        <f t="shared" si="60"/>
        <v>0</v>
      </c>
      <c r="AL24" s="1038">
        <f t="shared" si="60"/>
        <v>0</v>
      </c>
      <c r="AM24" s="1038">
        <f t="shared" si="60"/>
        <v>1607520000</v>
      </c>
      <c r="AN24" s="1038">
        <f t="shared" si="60"/>
        <v>1610446000</v>
      </c>
      <c r="AO24" s="1038">
        <f t="shared" si="60"/>
        <v>1612773441</v>
      </c>
      <c r="AP24" s="1043"/>
      <c r="AQ24" s="801" t="s">
        <v>209</v>
      </c>
      <c r="AR24" s="1041" t="s">
        <v>137</v>
      </c>
      <c r="AS24" s="1042">
        <f>+AS11+AS23</f>
        <v>1331470000</v>
      </c>
      <c r="AT24" s="1042">
        <f t="shared" ref="AT24:BC24" si="61">+AT11+AT23</f>
        <v>1295897000</v>
      </c>
      <c r="AU24" s="1042">
        <f t="shared" si="61"/>
        <v>1272756849</v>
      </c>
      <c r="AV24" s="1042">
        <f t="shared" si="61"/>
        <v>0</v>
      </c>
      <c r="AW24" s="1042">
        <f t="shared" si="61"/>
        <v>0</v>
      </c>
      <c r="AX24" s="1042">
        <f t="shared" si="61"/>
        <v>0</v>
      </c>
      <c r="AY24" s="1042">
        <f t="shared" si="61"/>
        <v>0</v>
      </c>
      <c r="AZ24" s="1042">
        <f t="shared" si="61"/>
        <v>0</v>
      </c>
      <c r="BA24" s="1042">
        <f t="shared" si="61"/>
        <v>1331470000</v>
      </c>
      <c r="BB24" s="1042">
        <f t="shared" si="61"/>
        <v>1295897000</v>
      </c>
      <c r="BC24" s="1042">
        <f t="shared" si="61"/>
        <v>1272756849</v>
      </c>
    </row>
    <row r="25" spans="1:55" s="325" customFormat="1" ht="14.1" customHeight="1" x14ac:dyDescent="0.25">
      <c r="A25" s="801" t="s">
        <v>508</v>
      </c>
      <c r="B25" s="323" t="s">
        <v>409</v>
      </c>
      <c r="C25" s="324">
        <v>1156310000</v>
      </c>
      <c r="D25" s="324">
        <v>1156310001</v>
      </c>
      <c r="E25" s="324">
        <f t="shared" ref="E25:K25" si="62">+E16</f>
        <v>1147798602</v>
      </c>
      <c r="F25" s="324">
        <f t="shared" si="62"/>
        <v>0</v>
      </c>
      <c r="G25" s="324"/>
      <c r="H25" s="324">
        <f t="shared" si="62"/>
        <v>0</v>
      </c>
      <c r="I25" s="324">
        <f t="shared" si="62"/>
        <v>0</v>
      </c>
      <c r="J25" s="324">
        <f t="shared" si="62"/>
        <v>0</v>
      </c>
      <c r="K25" s="324">
        <f t="shared" si="62"/>
        <v>1156310000</v>
      </c>
      <c r="L25" s="324">
        <f t="shared" ref="L25:M25" si="63">+L16</f>
        <v>1147798602</v>
      </c>
      <c r="M25" s="730">
        <f t="shared" si="63"/>
        <v>1147798602</v>
      </c>
      <c r="N25" s="746"/>
      <c r="O25" s="1052" t="s">
        <v>508</v>
      </c>
      <c r="P25" s="740" t="s">
        <v>409</v>
      </c>
      <c r="Q25" s="324">
        <f>Q19</f>
        <v>1156310000</v>
      </c>
      <c r="R25" s="324">
        <f t="shared" ref="R25:AA25" si="64">R19</f>
        <v>1147798602</v>
      </c>
      <c r="S25" s="324">
        <f t="shared" si="64"/>
        <v>1147798602</v>
      </c>
      <c r="T25" s="324">
        <f t="shared" si="64"/>
        <v>0</v>
      </c>
      <c r="U25" s="324">
        <f t="shared" si="64"/>
        <v>0</v>
      </c>
      <c r="V25" s="324">
        <f t="shared" si="64"/>
        <v>0</v>
      </c>
      <c r="W25" s="324">
        <f t="shared" si="64"/>
        <v>0</v>
      </c>
      <c r="X25" s="324">
        <f t="shared" si="64"/>
        <v>0</v>
      </c>
      <c r="Y25" s="324">
        <f t="shared" si="64"/>
        <v>1156310000</v>
      </c>
      <c r="Z25" s="324">
        <f t="shared" si="64"/>
        <v>1147798602</v>
      </c>
      <c r="AA25" s="324">
        <f t="shared" si="64"/>
        <v>1147798602</v>
      </c>
      <c r="AB25" s="324"/>
      <c r="AC25" s="801" t="s">
        <v>508</v>
      </c>
      <c r="AD25" s="323" t="s">
        <v>409</v>
      </c>
      <c r="AE25" s="72">
        <f>AE16+AE22</f>
        <v>9263000</v>
      </c>
      <c r="AF25" s="72">
        <f t="shared" ref="AF25:AO25" si="65">AF16+AF22</f>
        <v>12189000</v>
      </c>
      <c r="AG25" s="72">
        <f t="shared" si="65"/>
        <v>17774398</v>
      </c>
      <c r="AH25" s="72">
        <f t="shared" si="65"/>
        <v>0</v>
      </c>
      <c r="AI25" s="72">
        <f t="shared" si="65"/>
        <v>0</v>
      </c>
      <c r="AJ25" s="72">
        <f t="shared" si="65"/>
        <v>0</v>
      </c>
      <c r="AK25" s="72">
        <f t="shared" si="65"/>
        <v>0</v>
      </c>
      <c r="AL25" s="72">
        <f t="shared" si="65"/>
        <v>0</v>
      </c>
      <c r="AM25" s="72">
        <f t="shared" si="65"/>
        <v>9263000</v>
      </c>
      <c r="AN25" s="72">
        <f t="shared" si="65"/>
        <v>12189000</v>
      </c>
      <c r="AO25" s="72">
        <f t="shared" si="65"/>
        <v>17774398</v>
      </c>
      <c r="AP25" s="750"/>
      <c r="AQ25" s="801" t="s">
        <v>508</v>
      </c>
      <c r="AR25" s="740" t="s">
        <v>409</v>
      </c>
      <c r="AS25" s="72">
        <f>AS20</f>
        <v>9263000</v>
      </c>
      <c r="AT25" s="72">
        <f t="shared" ref="AT25:BC25" si="66">AT20</f>
        <v>12189000</v>
      </c>
      <c r="AU25" s="72">
        <f t="shared" si="66"/>
        <v>17774398</v>
      </c>
      <c r="AV25" s="72">
        <f t="shared" si="66"/>
        <v>0</v>
      </c>
      <c r="AW25" s="72">
        <f t="shared" si="66"/>
        <v>0</v>
      </c>
      <c r="AX25" s="72">
        <f t="shared" si="66"/>
        <v>0</v>
      </c>
      <c r="AY25" s="72">
        <f t="shared" si="66"/>
        <v>0</v>
      </c>
      <c r="AZ25" s="72">
        <f t="shared" si="66"/>
        <v>0</v>
      </c>
      <c r="BA25" s="72">
        <f t="shared" si="66"/>
        <v>9263000</v>
      </c>
      <c r="BB25" s="72">
        <f t="shared" si="66"/>
        <v>12189000</v>
      </c>
      <c r="BC25" s="72">
        <f t="shared" si="66"/>
        <v>17774398</v>
      </c>
    </row>
    <row r="26" spans="1:55" s="1044" customFormat="1" ht="27" customHeight="1" x14ac:dyDescent="0.25">
      <c r="A26" s="801" t="s">
        <v>510</v>
      </c>
      <c r="B26" s="1045" t="s">
        <v>410</v>
      </c>
      <c r="C26" s="1038">
        <f>C24-C25</f>
        <v>3044399000</v>
      </c>
      <c r="D26" s="1038">
        <f>D24-D25</f>
        <v>3037887387</v>
      </c>
      <c r="E26" s="1038">
        <f t="shared" ref="E26:K26" si="67">E24-E25</f>
        <v>3046398786</v>
      </c>
      <c r="F26" s="1038">
        <f t="shared" si="67"/>
        <v>0</v>
      </c>
      <c r="G26" s="1038"/>
      <c r="H26" s="1038">
        <f t="shared" si="67"/>
        <v>0</v>
      </c>
      <c r="I26" s="1038">
        <f t="shared" si="67"/>
        <v>0</v>
      </c>
      <c r="J26" s="1038">
        <f t="shared" si="67"/>
        <v>0</v>
      </c>
      <c r="K26" s="1038">
        <f t="shared" si="67"/>
        <v>3044399000</v>
      </c>
      <c r="L26" s="1038">
        <f t="shared" ref="L26:M26" si="68">L24-L25</f>
        <v>3046398786</v>
      </c>
      <c r="M26" s="1039">
        <f t="shared" si="68"/>
        <v>3046398786</v>
      </c>
      <c r="N26" s="747"/>
      <c r="O26" s="1052" t="s">
        <v>510</v>
      </c>
      <c r="P26" s="1046" t="s">
        <v>127</v>
      </c>
      <c r="Q26" s="1038">
        <f>Q24-Q25</f>
        <v>3215957000</v>
      </c>
      <c r="R26" s="1038">
        <f t="shared" ref="R26:AA26" si="69">R24-R25</f>
        <v>3256455786</v>
      </c>
      <c r="S26" s="1038">
        <f t="shared" si="69"/>
        <v>3277723378</v>
      </c>
      <c r="T26" s="1038">
        <f t="shared" si="69"/>
        <v>104492000</v>
      </c>
      <c r="U26" s="1038">
        <f t="shared" si="69"/>
        <v>104492000</v>
      </c>
      <c r="V26" s="1038">
        <f t="shared" si="69"/>
        <v>108692000</v>
      </c>
      <c r="W26" s="1038">
        <f t="shared" si="69"/>
        <v>0</v>
      </c>
      <c r="X26" s="1038">
        <f t="shared" si="69"/>
        <v>0</v>
      </c>
      <c r="Y26" s="1038">
        <f t="shared" si="69"/>
        <v>3320449000</v>
      </c>
      <c r="Z26" s="1038">
        <f t="shared" si="69"/>
        <v>3360947786</v>
      </c>
      <c r="AA26" s="1038">
        <f t="shared" si="69"/>
        <v>3386415378</v>
      </c>
      <c r="AB26" s="1038"/>
      <c r="AC26" s="801" t="s">
        <v>510</v>
      </c>
      <c r="AD26" s="1047" t="s">
        <v>127</v>
      </c>
      <c r="AE26" s="1038">
        <f>AE24-AE25</f>
        <v>1598257000</v>
      </c>
      <c r="AF26" s="1038">
        <f t="shared" ref="AF26:AO26" si="70">AF24-AF25</f>
        <v>1598257000</v>
      </c>
      <c r="AG26" s="1038">
        <f t="shared" si="70"/>
        <v>1594999043</v>
      </c>
      <c r="AH26" s="1038">
        <f t="shared" si="70"/>
        <v>0</v>
      </c>
      <c r="AI26" s="1038">
        <f t="shared" si="70"/>
        <v>0</v>
      </c>
      <c r="AJ26" s="1038">
        <f t="shared" si="70"/>
        <v>0</v>
      </c>
      <c r="AK26" s="1038">
        <f t="shared" si="70"/>
        <v>0</v>
      </c>
      <c r="AL26" s="1038">
        <f t="shared" si="70"/>
        <v>0</v>
      </c>
      <c r="AM26" s="1038">
        <f t="shared" si="70"/>
        <v>1598257000</v>
      </c>
      <c r="AN26" s="1038">
        <f t="shared" si="70"/>
        <v>1598257000</v>
      </c>
      <c r="AO26" s="1038">
        <f t="shared" si="70"/>
        <v>1594999043</v>
      </c>
      <c r="AP26" s="1040"/>
      <c r="AQ26" s="801" t="s">
        <v>510</v>
      </c>
      <c r="AR26" s="1046" t="s">
        <v>127</v>
      </c>
      <c r="AS26" s="1038">
        <f>AS24-AS25</f>
        <v>1322207000</v>
      </c>
      <c r="AT26" s="1038">
        <f t="shared" ref="AT26:BC26" si="71">AT24-AT25</f>
        <v>1283708000</v>
      </c>
      <c r="AU26" s="1038">
        <f t="shared" si="71"/>
        <v>1254982451</v>
      </c>
      <c r="AV26" s="1038">
        <f t="shared" si="71"/>
        <v>0</v>
      </c>
      <c r="AW26" s="1038">
        <f t="shared" si="71"/>
        <v>0</v>
      </c>
      <c r="AX26" s="1038">
        <f t="shared" si="71"/>
        <v>0</v>
      </c>
      <c r="AY26" s="1038">
        <f t="shared" si="71"/>
        <v>0</v>
      </c>
      <c r="AZ26" s="1038">
        <f t="shared" si="71"/>
        <v>0</v>
      </c>
      <c r="BA26" s="1038">
        <f t="shared" si="71"/>
        <v>1322207000</v>
      </c>
      <c r="BB26" s="1038">
        <f t="shared" si="71"/>
        <v>1283708000</v>
      </c>
      <c r="BC26" s="1038">
        <f t="shared" si="71"/>
        <v>1254982451</v>
      </c>
    </row>
    <row r="27" spans="1:55" s="306" customFormat="1" ht="14.1" customHeight="1" x14ac:dyDescent="0.25">
      <c r="A27" s="64"/>
      <c r="B27" s="86"/>
      <c r="C27" s="70"/>
      <c r="D27" s="70"/>
      <c r="E27" s="70"/>
      <c r="F27" s="70"/>
      <c r="G27" s="70"/>
      <c r="H27" s="70"/>
      <c r="I27" s="70"/>
      <c r="J27" s="70"/>
      <c r="K27" s="318"/>
      <c r="L27" s="731"/>
      <c r="M27" s="731"/>
      <c r="N27" s="1059"/>
      <c r="O27" s="1053"/>
      <c r="P27" s="741"/>
      <c r="Q27" s="70"/>
      <c r="R27" s="70"/>
      <c r="S27" s="70"/>
      <c r="T27" s="70"/>
      <c r="U27" s="70"/>
      <c r="V27" s="70"/>
      <c r="W27" s="70"/>
      <c r="X27" s="70"/>
      <c r="Y27" s="315"/>
      <c r="Z27" s="315"/>
      <c r="AA27" s="315"/>
      <c r="AB27" s="315"/>
      <c r="AC27" s="64"/>
      <c r="AD27" s="86"/>
      <c r="AE27" s="12"/>
      <c r="AF27" s="12"/>
      <c r="AG27" s="12"/>
      <c r="AH27" s="12"/>
      <c r="AI27" s="12"/>
      <c r="AJ27" s="12"/>
      <c r="AK27" s="12"/>
      <c r="AL27" s="12"/>
      <c r="AM27" s="313"/>
      <c r="AN27" s="748"/>
      <c r="AO27" s="748"/>
      <c r="AP27" s="751"/>
      <c r="AQ27" s="64"/>
      <c r="AR27" s="741"/>
      <c r="AS27" s="12"/>
      <c r="AT27" s="12"/>
      <c r="AU27" s="12"/>
      <c r="AV27" s="12"/>
      <c r="AW27" s="12"/>
      <c r="AX27" s="12"/>
      <c r="AY27" s="12"/>
      <c r="AZ27" s="12"/>
      <c r="BA27" s="312"/>
      <c r="BB27" s="312"/>
      <c r="BC27" s="231"/>
    </row>
    <row r="28" spans="1:55" s="306" customFormat="1" ht="33.75" x14ac:dyDescent="0.25">
      <c r="A28" s="243"/>
      <c r="B28" s="207"/>
      <c r="C28" s="49"/>
      <c r="D28" s="49"/>
      <c r="E28" s="49"/>
      <c r="F28" s="49"/>
      <c r="G28" s="49"/>
      <c r="H28" s="49"/>
      <c r="I28" s="49"/>
      <c r="J28" s="49"/>
      <c r="K28" s="50"/>
      <c r="L28" s="729"/>
      <c r="M28" s="729"/>
      <c r="N28" s="750"/>
      <c r="O28" s="1054"/>
      <c r="P28" s="742" t="s">
        <v>251</v>
      </c>
      <c r="Q28" s="52"/>
      <c r="R28" s="52"/>
      <c r="S28" s="52"/>
      <c r="T28" s="52"/>
      <c r="U28" s="52"/>
      <c r="V28" s="52"/>
      <c r="W28" s="52">
        <f>+Y28/Y26</f>
        <v>-8.3136346921756671E-2</v>
      </c>
      <c r="X28" s="52"/>
      <c r="Y28" s="92">
        <f>+K26-Y26</f>
        <v>-276050000</v>
      </c>
      <c r="Z28" s="92">
        <f>+L26-Z26</f>
        <v>-314549000</v>
      </c>
      <c r="AA28" s="92">
        <f>+M26-AA26</f>
        <v>-340016592</v>
      </c>
      <c r="AB28" s="92"/>
      <c r="AC28" s="243"/>
      <c r="AD28" s="207"/>
      <c r="AE28" s="47"/>
      <c r="AF28" s="47"/>
      <c r="AG28" s="47"/>
      <c r="AH28" s="49"/>
      <c r="AI28" s="49"/>
      <c r="AJ28" s="49"/>
      <c r="AK28" s="49"/>
      <c r="AL28" s="49"/>
      <c r="AM28" s="50"/>
      <c r="AN28" s="729"/>
      <c r="AO28" s="729"/>
      <c r="AP28" s="744"/>
      <c r="AQ28" s="801"/>
      <c r="AR28" s="749" t="s">
        <v>252</v>
      </c>
      <c r="AS28" s="51"/>
      <c r="AT28" s="51"/>
      <c r="AU28" s="51"/>
      <c r="AV28" s="51"/>
      <c r="AW28" s="51"/>
      <c r="AX28" s="51"/>
      <c r="AY28" s="51"/>
      <c r="AZ28" s="51"/>
      <c r="BA28" s="92">
        <f>+AM26-BA26</f>
        <v>276050000</v>
      </c>
      <c r="BB28" s="92">
        <f>+AN26-BB26</f>
        <v>314549000</v>
      </c>
      <c r="BC28" s="92">
        <f>+AO26-BC26</f>
        <v>340016592</v>
      </c>
    </row>
    <row r="29" spans="1:55" x14ac:dyDescent="0.25">
      <c r="A29" s="10"/>
      <c r="B29" s="36"/>
      <c r="C29" s="37"/>
      <c r="D29" s="37"/>
      <c r="E29" s="37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9"/>
      <c r="Q29" s="24"/>
      <c r="R29" s="24"/>
      <c r="S29" s="24"/>
      <c r="T29" s="24"/>
      <c r="U29" s="24"/>
      <c r="V29" s="24"/>
      <c r="W29" s="24"/>
      <c r="X29" s="24"/>
      <c r="Y29" s="316"/>
      <c r="Z29" s="316"/>
      <c r="AA29" s="316"/>
      <c r="AB29" s="316"/>
      <c r="AC29" s="62"/>
      <c r="AD29" s="36"/>
      <c r="AE29" s="37"/>
      <c r="AF29" s="37"/>
      <c r="AG29" s="37"/>
      <c r="AH29" s="38"/>
      <c r="AI29" s="38"/>
      <c r="AJ29" s="38"/>
      <c r="AK29" s="38"/>
      <c r="AL29" s="38"/>
      <c r="AM29" s="35"/>
      <c r="AN29" s="35"/>
      <c r="AO29" s="35"/>
      <c r="AP29" s="35"/>
      <c r="AQ29" s="204"/>
      <c r="AR29" s="39"/>
      <c r="AS29" s="24"/>
      <c r="AT29" s="24"/>
      <c r="AU29" s="24"/>
      <c r="AV29" s="24"/>
      <c r="AW29" s="24"/>
      <c r="AX29" s="24"/>
      <c r="AY29" s="24"/>
      <c r="AZ29" s="24"/>
      <c r="BA29" s="1051"/>
      <c r="BB29" s="1051"/>
      <c r="BC29" s="1051"/>
    </row>
    <row r="30" spans="1:55" x14ac:dyDescent="0.25">
      <c r="A30" s="10"/>
      <c r="B30" s="36"/>
      <c r="C30" s="37"/>
      <c r="D30" s="37"/>
      <c r="E30" s="37"/>
      <c r="F30" s="38"/>
      <c r="G30" s="38"/>
      <c r="H30" s="38"/>
      <c r="I30" s="38"/>
      <c r="J30" s="38"/>
      <c r="K30" s="35"/>
      <c r="L30" s="35"/>
      <c r="M30" s="35"/>
      <c r="N30" s="35"/>
      <c r="O30" s="35"/>
      <c r="P30" s="321">
        <f>+M24+AO24</f>
        <v>5806970829</v>
      </c>
      <c r="Q30" s="24"/>
      <c r="R30" s="24"/>
      <c r="S30" s="24"/>
      <c r="T30" s="24"/>
      <c r="U30" s="24"/>
      <c r="V30" s="24"/>
      <c r="W30" s="24"/>
      <c r="X30" s="24"/>
      <c r="Y30" s="316"/>
      <c r="Z30" s="316"/>
      <c r="AA30" s="316"/>
      <c r="AB30" s="316"/>
    </row>
    <row r="31" spans="1:55" x14ac:dyDescent="0.25">
      <c r="A31" s="10"/>
      <c r="B31" s="36"/>
      <c r="C31" s="37"/>
      <c r="D31" s="37"/>
      <c r="E31" s="37"/>
      <c r="F31" s="38"/>
      <c r="G31" s="38"/>
      <c r="H31" s="38"/>
      <c r="I31" s="38"/>
      <c r="J31" s="38"/>
      <c r="K31" s="35"/>
      <c r="L31" s="35"/>
      <c r="M31" s="35"/>
      <c r="N31" s="35"/>
      <c r="O31" s="35"/>
      <c r="P31" s="322">
        <f>+M26+AO26</f>
        <v>4641397829</v>
      </c>
      <c r="Q31" s="24"/>
      <c r="R31" s="24"/>
      <c r="S31" s="24"/>
      <c r="T31" s="24"/>
      <c r="U31" s="24"/>
      <c r="V31" s="24"/>
      <c r="W31" s="24"/>
      <c r="X31" s="24"/>
      <c r="Y31" s="316"/>
      <c r="Z31" s="316"/>
      <c r="AA31" s="316"/>
      <c r="AB31" s="316"/>
      <c r="AM31" s="727">
        <f t="shared" ref="AM31:AO33" si="72">+AM24+K24</f>
        <v>5808229000</v>
      </c>
      <c r="AN31" s="727">
        <f t="shared" si="72"/>
        <v>5804643388</v>
      </c>
      <c r="AO31" s="727">
        <f t="shared" si="72"/>
        <v>5806970829</v>
      </c>
      <c r="AP31" s="727">
        <f>+AO31-'2020. 1.bevkiadfőössz. '!O34</f>
        <v>0</v>
      </c>
      <c r="BA31" s="727">
        <f t="shared" ref="BA31:BC33" si="73">+BA24+Y24</f>
        <v>5808229000</v>
      </c>
      <c r="BB31" s="727">
        <f t="shared" si="73"/>
        <v>5804643388</v>
      </c>
      <c r="BC31" s="727">
        <f t="shared" si="73"/>
        <v>5806970829</v>
      </c>
    </row>
    <row r="32" spans="1:55" x14ac:dyDescent="0.25">
      <c r="A32" s="10"/>
      <c r="B32" s="36"/>
      <c r="C32" s="37"/>
      <c r="D32" s="37"/>
      <c r="E32" s="37"/>
      <c r="F32" s="38"/>
      <c r="G32" s="38"/>
      <c r="H32" s="38"/>
      <c r="I32" s="38"/>
      <c r="J32" s="38"/>
      <c r="K32" s="35"/>
      <c r="L32" s="35"/>
      <c r="M32" s="35"/>
      <c r="N32" s="35"/>
      <c r="O32" s="35"/>
      <c r="P32" s="321">
        <f>+AA24+BC24</f>
        <v>5806970829</v>
      </c>
      <c r="Q32" s="24"/>
      <c r="R32" s="24"/>
      <c r="S32" s="24"/>
      <c r="T32" s="24"/>
      <c r="U32" s="24"/>
      <c r="V32" s="24"/>
      <c r="W32" s="24"/>
      <c r="X32" s="24"/>
      <c r="Y32" s="316"/>
      <c r="Z32" s="316"/>
      <c r="AA32" s="316"/>
      <c r="AB32" s="316"/>
      <c r="AM32" s="727">
        <f t="shared" si="72"/>
        <v>1165573000</v>
      </c>
      <c r="AN32" s="727">
        <f t="shared" si="72"/>
        <v>1159987602</v>
      </c>
      <c r="AO32" s="727">
        <f t="shared" si="72"/>
        <v>1165573000</v>
      </c>
      <c r="AP32" s="727">
        <f>+AO32-'2020. 1.bevkiadfőössz. '!O35</f>
        <v>0</v>
      </c>
      <c r="BA32" s="727">
        <f t="shared" si="73"/>
        <v>1165573000</v>
      </c>
      <c r="BB32" s="727">
        <f t="shared" si="73"/>
        <v>1159987602</v>
      </c>
      <c r="BC32" s="727">
        <f t="shared" si="73"/>
        <v>1165573000</v>
      </c>
    </row>
    <row r="33" spans="1:55" x14ac:dyDescent="0.25">
      <c r="A33" s="10"/>
      <c r="B33" s="40"/>
      <c r="C33" s="16"/>
      <c r="D33" s="44"/>
      <c r="E33" s="44"/>
      <c r="F33" s="37"/>
      <c r="G33" s="37"/>
      <c r="H33" s="37"/>
      <c r="I33" s="37"/>
      <c r="J33" s="37"/>
      <c r="K33" s="168"/>
      <c r="L33" s="168"/>
      <c r="M33" s="168"/>
      <c r="O33" s="168"/>
      <c r="P33" s="322">
        <f>+AA26+BC26</f>
        <v>4641397829</v>
      </c>
      <c r="Q33" s="16"/>
      <c r="R33" s="44"/>
      <c r="S33" s="44"/>
      <c r="T33" s="23"/>
      <c r="U33" s="23"/>
      <c r="V33" s="23"/>
      <c r="W33" s="23"/>
      <c r="X33" s="23"/>
      <c r="Y33" s="316"/>
      <c r="Z33" s="316"/>
      <c r="AA33" s="316"/>
      <c r="AB33" s="316"/>
      <c r="AM33" s="727">
        <f t="shared" si="72"/>
        <v>4642656000</v>
      </c>
      <c r="AN33" s="727">
        <f t="shared" si="72"/>
        <v>4644655786</v>
      </c>
      <c r="AO33" s="727">
        <f t="shared" si="72"/>
        <v>4641397829</v>
      </c>
      <c r="AP33" s="727">
        <f>+AO33-'2020. 1.bevkiadfőössz. '!O37</f>
        <v>0</v>
      </c>
      <c r="BA33" s="727">
        <f t="shared" si="73"/>
        <v>4642656000</v>
      </c>
      <c r="BB33" s="727">
        <f t="shared" si="73"/>
        <v>4644655786</v>
      </c>
      <c r="BC33" s="727">
        <f t="shared" si="73"/>
        <v>4641397829</v>
      </c>
    </row>
    <row r="34" spans="1:55" x14ac:dyDescent="0.25">
      <c r="A34" s="10"/>
      <c r="B34" s="36"/>
      <c r="C34" s="37"/>
      <c r="D34" s="37"/>
      <c r="E34" s="37"/>
      <c r="F34" s="38"/>
      <c r="G34" s="38"/>
      <c r="H34" s="38"/>
      <c r="I34" s="38"/>
      <c r="J34" s="38"/>
      <c r="K34" s="23"/>
      <c r="L34" s="23"/>
      <c r="M34" s="23"/>
      <c r="N34" s="23"/>
      <c r="O34" s="23"/>
      <c r="P34" s="321">
        <f>+P30-P32</f>
        <v>0</v>
      </c>
      <c r="Q34" s="24"/>
      <c r="R34" s="24"/>
      <c r="S34" s="24"/>
      <c r="T34" s="24"/>
      <c r="U34" s="24"/>
      <c r="V34" s="24"/>
      <c r="W34" s="24"/>
      <c r="X34" s="24"/>
      <c r="Y34" s="317"/>
      <c r="Z34" s="317"/>
      <c r="AA34" s="317"/>
      <c r="AB34" s="317"/>
    </row>
    <row r="35" spans="1:55" x14ac:dyDescent="0.25">
      <c r="A35" s="10"/>
      <c r="B35" s="21"/>
      <c r="C35" s="38"/>
      <c r="D35" s="38"/>
      <c r="E35" s="38"/>
      <c r="F35" s="38"/>
      <c r="G35" s="38"/>
      <c r="H35" s="38"/>
      <c r="I35" s="38"/>
      <c r="J35" s="38"/>
      <c r="K35" s="23"/>
      <c r="L35" s="23"/>
      <c r="M35" s="23"/>
      <c r="N35" s="23"/>
      <c r="O35" s="23"/>
      <c r="P35" s="322">
        <f>+P31-P33</f>
        <v>0</v>
      </c>
      <c r="Q35" s="24"/>
      <c r="R35" s="24"/>
      <c r="S35" s="24"/>
      <c r="T35" s="24"/>
      <c r="U35" s="24"/>
      <c r="V35" s="24"/>
      <c r="W35" s="24"/>
      <c r="X35" s="24"/>
      <c r="Y35" s="317"/>
      <c r="Z35" s="317"/>
      <c r="AA35" s="317"/>
      <c r="AB35" s="317"/>
    </row>
    <row r="36" spans="1:55" x14ac:dyDescent="0.25">
      <c r="A36" s="10"/>
      <c r="B36" s="21"/>
      <c r="C36" s="38"/>
      <c r="D36" s="38"/>
      <c r="E36" s="38"/>
      <c r="F36" s="38"/>
      <c r="G36" s="38"/>
      <c r="H36" s="38"/>
      <c r="I36" s="38"/>
      <c r="J36" s="38"/>
      <c r="K36" s="23"/>
      <c r="L36" s="23"/>
      <c r="M36" s="23"/>
      <c r="N36" s="23"/>
      <c r="O36" s="23"/>
      <c r="P36" s="21"/>
      <c r="Q36" s="24"/>
      <c r="R36" s="24"/>
      <c r="S36" s="24"/>
      <c r="T36" s="24"/>
      <c r="U36" s="24"/>
      <c r="V36" s="24"/>
      <c r="W36" s="24"/>
      <c r="X36" s="24"/>
      <c r="Y36" s="317"/>
      <c r="Z36" s="317"/>
      <c r="AA36" s="317"/>
      <c r="AB36" s="317"/>
    </row>
    <row r="37" spans="1:55" x14ac:dyDescent="0.25">
      <c r="A37" s="10"/>
      <c r="B37" s="21"/>
      <c r="C37" s="38"/>
      <c r="D37" s="38"/>
      <c r="E37" s="38"/>
      <c r="F37" s="38"/>
      <c r="G37" s="38"/>
      <c r="H37" s="38"/>
      <c r="I37" s="38"/>
      <c r="J37" s="38"/>
      <c r="K37" s="23"/>
      <c r="L37" s="23"/>
      <c r="M37" s="23"/>
      <c r="N37" s="23"/>
      <c r="O37" s="23"/>
      <c r="P37" s="21"/>
      <c r="Q37" s="24"/>
      <c r="R37" s="24"/>
      <c r="S37" s="24"/>
      <c r="T37" s="24"/>
      <c r="U37" s="24"/>
      <c r="V37" s="24"/>
      <c r="W37" s="24"/>
      <c r="X37" s="24"/>
      <c r="Y37" s="317"/>
      <c r="Z37" s="317"/>
      <c r="AA37" s="317"/>
      <c r="AB37" s="317"/>
    </row>
    <row r="38" spans="1:55" x14ac:dyDescent="0.25">
      <c r="A38" s="10"/>
      <c r="B38" s="36"/>
      <c r="C38" s="37"/>
      <c r="D38" s="37"/>
      <c r="E38" s="37"/>
      <c r="F38" s="38"/>
      <c r="G38" s="38"/>
      <c r="H38" s="38"/>
      <c r="I38" s="38"/>
      <c r="J38" s="38"/>
      <c r="K38" s="23"/>
      <c r="L38" s="23"/>
      <c r="M38" s="23"/>
      <c r="N38" s="23"/>
      <c r="O38" s="23"/>
      <c r="P38" s="21"/>
      <c r="Q38" s="24"/>
      <c r="R38" s="24"/>
      <c r="S38" s="24"/>
      <c r="T38" s="24"/>
      <c r="U38" s="24"/>
      <c r="V38" s="24"/>
      <c r="W38" s="24"/>
      <c r="X38" s="24"/>
      <c r="Y38" s="317"/>
      <c r="Z38" s="317"/>
      <c r="AA38" s="317"/>
      <c r="AB38" s="317"/>
    </row>
    <row r="39" spans="1:55" x14ac:dyDescent="0.25">
      <c r="A39" s="10"/>
      <c r="B39" s="36"/>
      <c r="C39" s="37"/>
      <c r="D39" s="37"/>
      <c r="E39" s="37"/>
      <c r="F39" s="38"/>
      <c r="G39" s="38"/>
      <c r="H39" s="38"/>
      <c r="I39" s="38"/>
      <c r="J39" s="38"/>
      <c r="K39" s="23"/>
      <c r="L39" s="23"/>
      <c r="M39" s="23"/>
      <c r="N39" s="23"/>
      <c r="O39" s="23"/>
      <c r="P39" s="21"/>
      <c r="Q39" s="24"/>
      <c r="R39" s="24"/>
      <c r="S39" s="24"/>
      <c r="T39" s="24"/>
      <c r="U39" s="24"/>
      <c r="V39" s="24"/>
      <c r="W39" s="24"/>
      <c r="X39" s="24"/>
      <c r="Y39" s="317"/>
      <c r="Z39" s="317"/>
      <c r="AA39" s="317"/>
      <c r="AB39" s="317"/>
    </row>
    <row r="40" spans="1:55" x14ac:dyDescent="0.25">
      <c r="A40" s="10"/>
      <c r="B40" s="36"/>
      <c r="C40" s="37"/>
      <c r="D40" s="37"/>
      <c r="E40" s="37"/>
      <c r="F40" s="38"/>
      <c r="G40" s="38"/>
      <c r="H40" s="38"/>
      <c r="I40" s="38"/>
      <c r="J40" s="38"/>
      <c r="K40" s="23"/>
      <c r="L40" s="23"/>
      <c r="M40" s="23"/>
      <c r="N40" s="23"/>
      <c r="O40" s="23"/>
      <c r="P40" s="21"/>
      <c r="Q40" s="24"/>
      <c r="R40" s="24"/>
      <c r="S40" s="24"/>
      <c r="T40" s="24"/>
      <c r="U40" s="24"/>
      <c r="V40" s="24"/>
      <c r="W40" s="24"/>
      <c r="X40" s="24"/>
      <c r="Y40" s="317"/>
      <c r="Z40" s="317"/>
      <c r="AA40" s="317"/>
      <c r="AB40" s="317"/>
    </row>
    <row r="41" spans="1:55" x14ac:dyDescent="0.25">
      <c r="A41" s="10"/>
      <c r="B41" s="36"/>
      <c r="C41" s="37"/>
      <c r="D41" s="37"/>
      <c r="E41" s="37"/>
      <c r="F41" s="38"/>
      <c r="G41" s="38"/>
      <c r="H41" s="38"/>
      <c r="I41" s="38"/>
      <c r="J41" s="38"/>
      <c r="K41" s="23"/>
      <c r="L41" s="23"/>
      <c r="M41" s="23"/>
      <c r="N41" s="23"/>
      <c r="O41" s="23"/>
      <c r="P41" s="21"/>
      <c r="Q41" s="24"/>
      <c r="R41" s="24"/>
      <c r="S41" s="24"/>
      <c r="T41" s="24"/>
      <c r="U41" s="24"/>
      <c r="V41" s="24"/>
      <c r="W41" s="24"/>
      <c r="X41" s="24"/>
      <c r="Y41" s="317"/>
      <c r="Z41" s="317"/>
      <c r="AA41" s="317"/>
      <c r="AB41" s="317"/>
    </row>
    <row r="42" spans="1:55" x14ac:dyDescent="0.25">
      <c r="A42" s="10"/>
      <c r="B42" s="40"/>
      <c r="C42" s="16"/>
      <c r="D42" s="44"/>
      <c r="E42" s="44"/>
      <c r="F42" s="37"/>
      <c r="G42" s="37"/>
      <c r="H42" s="37"/>
      <c r="I42" s="37"/>
      <c r="J42" s="37"/>
      <c r="K42" s="168"/>
      <c r="L42" s="168"/>
      <c r="M42" s="168"/>
      <c r="O42" s="168"/>
      <c r="P42" s="40"/>
      <c r="Q42" s="18"/>
      <c r="R42" s="18"/>
      <c r="S42" s="18"/>
      <c r="T42" s="23"/>
      <c r="U42" s="23"/>
      <c r="V42" s="23"/>
      <c r="W42" s="23"/>
      <c r="X42" s="23"/>
      <c r="Y42" s="317"/>
      <c r="Z42" s="317"/>
      <c r="AA42" s="317"/>
      <c r="AB42" s="317"/>
    </row>
    <row r="43" spans="1:55" x14ac:dyDescent="0.25">
      <c r="A43" s="10"/>
      <c r="B43" s="36"/>
      <c r="C43" s="37"/>
      <c r="D43" s="37"/>
      <c r="E43" s="37"/>
      <c r="F43" s="38"/>
      <c r="G43" s="38"/>
      <c r="H43" s="38"/>
      <c r="I43" s="38"/>
      <c r="J43" s="38"/>
      <c r="K43" s="23"/>
      <c r="L43" s="23"/>
      <c r="M43" s="23"/>
      <c r="N43" s="23"/>
      <c r="O43" s="23"/>
      <c r="P43" s="36"/>
      <c r="Q43" s="23"/>
      <c r="R43" s="23"/>
      <c r="S43" s="23"/>
      <c r="T43" s="24"/>
      <c r="U43" s="24"/>
      <c r="V43" s="24"/>
      <c r="W43" s="24"/>
      <c r="X43" s="24"/>
      <c r="Y43" s="317"/>
      <c r="Z43" s="317"/>
      <c r="AA43" s="317"/>
      <c r="AB43" s="317"/>
    </row>
    <row r="44" spans="1:55" x14ac:dyDescent="0.25">
      <c r="A44" s="41"/>
      <c r="B44" s="42"/>
      <c r="C44" s="27"/>
      <c r="D44" s="27"/>
      <c r="E44" s="27"/>
      <c r="F44" s="38"/>
      <c r="G44" s="38"/>
      <c r="H44" s="38"/>
      <c r="I44" s="38"/>
      <c r="J44" s="38"/>
      <c r="K44" s="168"/>
      <c r="L44" s="168"/>
      <c r="M44" s="168"/>
      <c r="O44" s="168"/>
      <c r="P44" s="20"/>
      <c r="Q44" s="34"/>
      <c r="R44" s="34"/>
      <c r="S44" s="34"/>
      <c r="T44" s="24"/>
      <c r="U44" s="24"/>
      <c r="V44" s="24"/>
      <c r="W44" s="24"/>
      <c r="X44" s="24"/>
      <c r="Y44" s="168"/>
      <c r="Z44" s="168"/>
      <c r="AA44" s="168"/>
      <c r="AB44" s="168"/>
    </row>
    <row r="45" spans="1:55" x14ac:dyDescent="0.25">
      <c r="A45" s="41"/>
      <c r="B45" s="40"/>
      <c r="C45" s="44"/>
      <c r="D45" s="44"/>
      <c r="E45" s="44"/>
      <c r="F45" s="38"/>
      <c r="G45" s="38"/>
      <c r="H45" s="38"/>
      <c r="I45" s="38"/>
      <c r="J45" s="38"/>
      <c r="K45" s="168"/>
      <c r="L45" s="168"/>
      <c r="M45" s="168"/>
      <c r="O45" s="168"/>
      <c r="P45" s="40"/>
      <c r="Q45" s="44"/>
      <c r="R45" s="44"/>
      <c r="S45" s="44"/>
      <c r="T45" s="24"/>
      <c r="U45" s="24"/>
      <c r="V45" s="24"/>
      <c r="W45" s="24"/>
      <c r="X45" s="24"/>
      <c r="Y45" s="168"/>
      <c r="Z45" s="168"/>
      <c r="AA45" s="168"/>
      <c r="AB45" s="168"/>
    </row>
    <row r="46" spans="1:55" x14ac:dyDescent="0.25">
      <c r="A46" s="17"/>
      <c r="B46" s="17"/>
      <c r="C46" s="17"/>
      <c r="D46" s="43"/>
      <c r="E46" s="43"/>
      <c r="F46" s="17"/>
      <c r="G46" s="43"/>
      <c r="H46" s="43"/>
      <c r="I46" s="17"/>
      <c r="J46" s="43"/>
      <c r="K46" s="168"/>
      <c r="L46" s="168"/>
      <c r="M46" s="168"/>
      <c r="O46" s="168"/>
      <c r="P46" s="17"/>
      <c r="Q46" s="17"/>
      <c r="R46" s="43"/>
      <c r="S46" s="43"/>
      <c r="T46" s="17"/>
      <c r="U46" s="43"/>
      <c r="V46" s="43"/>
      <c r="W46" s="17"/>
      <c r="X46" s="43"/>
      <c r="Y46" s="168"/>
      <c r="Z46" s="168"/>
      <c r="AA46" s="168"/>
      <c r="AB46" s="168"/>
    </row>
    <row r="47" spans="1:55" x14ac:dyDescent="0.25">
      <c r="A47" s="17"/>
      <c r="B47" s="17"/>
      <c r="C47" s="17"/>
      <c r="D47" s="43"/>
      <c r="E47" s="43"/>
      <c r="F47" s="17"/>
      <c r="G47" s="43"/>
      <c r="H47" s="43"/>
      <c r="I47" s="17"/>
      <c r="J47" s="43"/>
      <c r="K47" s="168"/>
      <c r="L47" s="168"/>
      <c r="M47" s="168"/>
      <c r="O47" s="168"/>
      <c r="P47" s="17"/>
      <c r="Q47" s="17"/>
      <c r="R47" s="43"/>
      <c r="S47" s="43"/>
      <c r="T47" s="17"/>
      <c r="U47" s="43"/>
      <c r="V47" s="43"/>
      <c r="W47" s="17"/>
      <c r="X47" s="43"/>
      <c r="Y47" s="168"/>
      <c r="Z47" s="168"/>
      <c r="AA47" s="168"/>
      <c r="AB47" s="168"/>
    </row>
  </sheetData>
  <mergeCells count="6">
    <mergeCell ref="W3:Y3"/>
    <mergeCell ref="AY3:BA3"/>
    <mergeCell ref="W1:Y1"/>
    <mergeCell ref="AC2:BC2"/>
    <mergeCell ref="AY1:BA1"/>
    <mergeCell ref="A2:AA2"/>
  </mergeCells>
  <phoneticPr fontId="3" type="noConversion"/>
  <printOptions horizontalCentered="1"/>
  <pageMargins left="0.19685039370078741" right="0.15748031496062992" top="0.23622047244094491" bottom="0.27559055118110237" header="0.15748031496062992" footer="0.19685039370078741"/>
  <pageSetup paperSize="9" scale="30" orientation="landscape" r:id="rId1"/>
  <headerFooter alignWithMargins="0">
    <oddFooter xml:space="preserve">&amp;R
</oddFooter>
  </headerFooter>
  <colBreaks count="1" manualBreakCount="1">
    <brk id="2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Q74"/>
  <sheetViews>
    <sheetView showWhiteSpace="0" view="pageBreakPreview" topLeftCell="A30" zoomScaleNormal="100" zoomScaleSheetLayoutView="100" zoomScalePageLayoutView="115" workbookViewId="0">
      <selection activeCell="E42" sqref="E42"/>
    </sheetView>
  </sheetViews>
  <sheetFormatPr defaultColWidth="9.140625" defaultRowHeight="15" x14ac:dyDescent="0.25"/>
  <cols>
    <col min="1" max="1" width="5.28515625" style="615" customWidth="1"/>
    <col min="2" max="2" width="50.85546875" style="670" customWidth="1"/>
    <col min="3" max="3" width="11.28515625" style="620" customWidth="1"/>
    <col min="4" max="4" width="11.28515625" style="898" hidden="1" customWidth="1"/>
    <col min="5" max="5" width="11.28515625" style="871" customWidth="1"/>
    <col min="6" max="6" width="11.28515625" style="620" hidden="1" customWidth="1"/>
    <col min="7" max="7" width="11.28515625" style="620" customWidth="1"/>
    <col min="8" max="8" width="11.28515625" style="898" hidden="1" customWidth="1"/>
    <col min="9" max="9" width="11.28515625" style="871" customWidth="1"/>
    <col min="10" max="10" width="11.28515625" style="620" hidden="1" customWidth="1"/>
    <col min="11" max="11" width="11.28515625" style="620" customWidth="1"/>
    <col min="12" max="12" width="11.28515625" style="871" customWidth="1"/>
    <col min="13" max="13" width="11.28515625" style="620" customWidth="1"/>
    <col min="14" max="14" width="11.28515625" style="898" hidden="1" customWidth="1"/>
    <col min="15" max="15" width="11.28515625" style="871" customWidth="1"/>
    <col min="16" max="16" width="11.140625" style="620" hidden="1" customWidth="1"/>
    <col min="17" max="17" width="12.42578125" style="620" bestFit="1" customWidth="1"/>
    <col min="18" max="16384" width="9.140625" style="620"/>
  </cols>
  <sheetData>
    <row r="1" spans="1:17" ht="39.75" customHeight="1" x14ac:dyDescent="0.25">
      <c r="B1" s="616"/>
      <c r="C1" s="617"/>
      <c r="D1" s="879"/>
      <c r="E1" s="854"/>
      <c r="F1" s="617"/>
      <c r="G1" s="617"/>
      <c r="H1" s="879"/>
      <c r="I1" s="872"/>
      <c r="J1" s="618"/>
      <c r="K1" s="619"/>
      <c r="L1" s="1091" t="s">
        <v>675</v>
      </c>
      <c r="M1" s="1091"/>
      <c r="N1" s="1091"/>
      <c r="O1" s="1091"/>
      <c r="P1" s="619"/>
    </row>
    <row r="2" spans="1:17" ht="36.75" customHeight="1" x14ac:dyDescent="0.25">
      <c r="A2" s="1089" t="s">
        <v>674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619"/>
    </row>
    <row r="3" spans="1:17" x14ac:dyDescent="0.25">
      <c r="A3" s="621"/>
      <c r="B3" s="622" t="s">
        <v>37</v>
      </c>
      <c r="C3" s="623"/>
      <c r="D3" s="880"/>
      <c r="E3" s="855"/>
      <c r="F3" s="623"/>
      <c r="G3" s="624"/>
      <c r="H3" s="899"/>
      <c r="I3" s="873"/>
      <c r="J3" s="624"/>
      <c r="K3" s="624"/>
      <c r="L3" s="873"/>
      <c r="M3" s="623" t="s">
        <v>339</v>
      </c>
      <c r="N3" s="899"/>
      <c r="O3" s="873"/>
      <c r="P3" s="624"/>
    </row>
    <row r="4" spans="1:17" s="627" customFormat="1" ht="60" x14ac:dyDescent="0.25">
      <c r="A4" s="625" t="s">
        <v>223</v>
      </c>
      <c r="B4" s="755" t="s">
        <v>31</v>
      </c>
      <c r="C4" s="626" t="s">
        <v>460</v>
      </c>
      <c r="D4" s="881" t="s">
        <v>459</v>
      </c>
      <c r="E4" s="337" t="s">
        <v>461</v>
      </c>
      <c r="F4" s="626" t="s">
        <v>462</v>
      </c>
      <c r="G4" s="626" t="s">
        <v>463</v>
      </c>
      <c r="H4" s="902" t="s">
        <v>642</v>
      </c>
      <c r="I4" s="337" t="s">
        <v>643</v>
      </c>
      <c r="J4" s="626" t="s">
        <v>644</v>
      </c>
      <c r="K4" s="626" t="s">
        <v>465</v>
      </c>
      <c r="L4" s="337" t="s">
        <v>466</v>
      </c>
      <c r="M4" s="626" t="s">
        <v>467</v>
      </c>
      <c r="N4" s="900" t="s">
        <v>468</v>
      </c>
      <c r="O4" s="339" t="s">
        <v>469</v>
      </c>
      <c r="P4" s="625" t="s">
        <v>476</v>
      </c>
    </row>
    <row r="5" spans="1:17" s="632" customFormat="1" ht="14.25" x14ac:dyDescent="0.2">
      <c r="A5" s="628" t="s">
        <v>11</v>
      </c>
      <c r="B5" s="629" t="s">
        <v>69</v>
      </c>
      <c r="C5" s="630">
        <v>1128920000</v>
      </c>
      <c r="D5" s="882">
        <f>+C5</f>
        <v>1128920000</v>
      </c>
      <c r="E5" s="856">
        <f>+D5</f>
        <v>1128920000</v>
      </c>
      <c r="F5" s="631"/>
      <c r="G5" s="631">
        <v>0</v>
      </c>
      <c r="H5" s="884">
        <v>0</v>
      </c>
      <c r="I5" s="856"/>
      <c r="J5" s="630"/>
      <c r="K5" s="630">
        <v>0</v>
      </c>
      <c r="L5" s="856">
        <v>0</v>
      </c>
      <c r="M5" s="630">
        <f>C5+G5+K5</f>
        <v>1128920000</v>
      </c>
      <c r="N5" s="882">
        <f>+D5+H5+L5</f>
        <v>1128920000</v>
      </c>
      <c r="O5" s="856">
        <f>+E5+I5+L5</f>
        <v>1128920000</v>
      </c>
      <c r="P5" s="630"/>
      <c r="Q5" s="845"/>
    </row>
    <row r="6" spans="1:17" s="632" customFormat="1" ht="14.25" x14ac:dyDescent="0.2">
      <c r="A6" s="628" t="s">
        <v>12</v>
      </c>
      <c r="B6" s="629" t="s">
        <v>156</v>
      </c>
      <c r="C6" s="630">
        <f>+C7</f>
        <v>4469000</v>
      </c>
      <c r="D6" s="882">
        <f t="shared" ref="D6:E6" si="0">+D7</f>
        <v>4469000</v>
      </c>
      <c r="E6" s="856">
        <f t="shared" si="0"/>
        <v>4469000</v>
      </c>
      <c r="F6" s="631"/>
      <c r="G6" s="631">
        <v>0</v>
      </c>
      <c r="H6" s="884">
        <v>0</v>
      </c>
      <c r="I6" s="856"/>
      <c r="J6" s="630"/>
      <c r="K6" s="630">
        <v>0</v>
      </c>
      <c r="L6" s="856">
        <v>0</v>
      </c>
      <c r="M6" s="630">
        <f t="shared" ref="M6:M32" si="1">C6+G6+K6</f>
        <v>4469000</v>
      </c>
      <c r="N6" s="882">
        <f t="shared" ref="N6:N32" si="2">+D6+H6+L6</f>
        <v>4469000</v>
      </c>
      <c r="O6" s="856">
        <f t="shared" ref="O6:O32" si="3">+E6+I6+L6</f>
        <v>4469000</v>
      </c>
      <c r="P6" s="630"/>
      <c r="Q6" s="845"/>
    </row>
    <row r="7" spans="1:17" x14ac:dyDescent="0.25">
      <c r="A7" s="633" t="s">
        <v>49</v>
      </c>
      <c r="B7" s="634" t="s">
        <v>70</v>
      </c>
      <c r="C7" s="635">
        <f>+C8+C10</f>
        <v>4469000</v>
      </c>
      <c r="D7" s="883">
        <f>+C7</f>
        <v>4469000</v>
      </c>
      <c r="E7" s="857">
        <f>+D7</f>
        <v>4469000</v>
      </c>
      <c r="F7" s="635"/>
      <c r="G7" s="635">
        <f>G8+G9+G10</f>
        <v>0</v>
      </c>
      <c r="H7" s="883">
        <f>H8+H9+H10</f>
        <v>0</v>
      </c>
      <c r="I7" s="857">
        <f>I8+I9+I10</f>
        <v>0</v>
      </c>
      <c r="J7" s="635"/>
      <c r="K7" s="635">
        <f>K8+K9+K10</f>
        <v>0</v>
      </c>
      <c r="L7" s="857">
        <f>L8+L9+L10</f>
        <v>0</v>
      </c>
      <c r="M7" s="630">
        <f t="shared" si="1"/>
        <v>4469000</v>
      </c>
      <c r="N7" s="882">
        <f t="shared" si="2"/>
        <v>4469000</v>
      </c>
      <c r="O7" s="856">
        <f t="shared" si="3"/>
        <v>4469000</v>
      </c>
      <c r="P7" s="630"/>
      <c r="Q7" s="845"/>
    </row>
    <row r="8" spans="1:17" x14ac:dyDescent="0.25">
      <c r="A8" s="633" t="s">
        <v>71</v>
      </c>
      <c r="B8" s="634" t="s">
        <v>363</v>
      </c>
      <c r="C8" s="635">
        <v>4469000</v>
      </c>
      <c r="D8" s="883">
        <f>+C8</f>
        <v>4469000</v>
      </c>
      <c r="E8" s="857">
        <f>+D8</f>
        <v>4469000</v>
      </c>
      <c r="F8" s="635"/>
      <c r="G8" s="635">
        <v>0</v>
      </c>
      <c r="H8" s="883">
        <v>0</v>
      </c>
      <c r="I8" s="857"/>
      <c r="J8" s="635"/>
      <c r="K8" s="635">
        <v>0</v>
      </c>
      <c r="L8" s="857">
        <v>0</v>
      </c>
      <c r="M8" s="630">
        <f t="shared" si="1"/>
        <v>4469000</v>
      </c>
      <c r="N8" s="882">
        <f t="shared" si="2"/>
        <v>4469000</v>
      </c>
      <c r="O8" s="856">
        <f t="shared" si="3"/>
        <v>4469000</v>
      </c>
      <c r="P8" s="630"/>
      <c r="Q8" s="845"/>
    </row>
    <row r="9" spans="1:17" x14ac:dyDescent="0.25">
      <c r="A9" s="633" t="s">
        <v>72</v>
      </c>
      <c r="B9" s="634" t="s">
        <v>74</v>
      </c>
      <c r="C9" s="635">
        <v>0</v>
      </c>
      <c r="D9" s="883">
        <f>+C9</f>
        <v>0</v>
      </c>
      <c r="E9" s="857"/>
      <c r="F9" s="635"/>
      <c r="G9" s="635">
        <v>0</v>
      </c>
      <c r="H9" s="883">
        <v>0</v>
      </c>
      <c r="I9" s="857"/>
      <c r="J9" s="635"/>
      <c r="K9" s="635">
        <v>0</v>
      </c>
      <c r="L9" s="857">
        <v>0</v>
      </c>
      <c r="M9" s="630">
        <f t="shared" si="1"/>
        <v>0</v>
      </c>
      <c r="N9" s="882">
        <f t="shared" si="2"/>
        <v>0</v>
      </c>
      <c r="O9" s="856">
        <f t="shared" si="3"/>
        <v>0</v>
      </c>
      <c r="P9" s="630"/>
      <c r="Q9" s="845"/>
    </row>
    <row r="10" spans="1:17" x14ac:dyDescent="0.25">
      <c r="A10" s="633" t="s">
        <v>73</v>
      </c>
      <c r="B10" s="634" t="s">
        <v>284</v>
      </c>
      <c r="C10" s="635">
        <v>0</v>
      </c>
      <c r="D10" s="883">
        <f>+C10</f>
        <v>0</v>
      </c>
      <c r="E10" s="857"/>
      <c r="F10" s="635"/>
      <c r="G10" s="635">
        <v>0</v>
      </c>
      <c r="H10" s="883">
        <v>0</v>
      </c>
      <c r="I10" s="857"/>
      <c r="J10" s="635"/>
      <c r="K10" s="635">
        <v>0</v>
      </c>
      <c r="L10" s="857">
        <v>0</v>
      </c>
      <c r="M10" s="630">
        <f t="shared" si="1"/>
        <v>0</v>
      </c>
      <c r="N10" s="882">
        <f t="shared" si="2"/>
        <v>0</v>
      </c>
      <c r="O10" s="856">
        <f t="shared" si="3"/>
        <v>0</v>
      </c>
      <c r="P10" s="630"/>
      <c r="Q10" s="845"/>
    </row>
    <row r="11" spans="1:17" s="632" customFormat="1" ht="14.25" x14ac:dyDescent="0.2">
      <c r="A11" s="628" t="s">
        <v>13</v>
      </c>
      <c r="B11" s="636" t="s">
        <v>138</v>
      </c>
      <c r="C11" s="631">
        <v>266257000</v>
      </c>
      <c r="D11" s="884">
        <f>+C11</f>
        <v>266257000</v>
      </c>
      <c r="E11" s="858">
        <f>+D11</f>
        <v>266257000</v>
      </c>
      <c r="F11" s="631"/>
      <c r="G11" s="631">
        <v>0</v>
      </c>
      <c r="H11" s="884">
        <v>0</v>
      </c>
      <c r="I11" s="858"/>
      <c r="J11" s="631"/>
      <c r="K11" s="631">
        <v>0</v>
      </c>
      <c r="L11" s="858">
        <v>0</v>
      </c>
      <c r="M11" s="630">
        <f t="shared" si="1"/>
        <v>266257000</v>
      </c>
      <c r="N11" s="882">
        <f t="shared" si="2"/>
        <v>266257000</v>
      </c>
      <c r="O11" s="856">
        <f t="shared" si="3"/>
        <v>266257000</v>
      </c>
      <c r="P11" s="630"/>
      <c r="Q11" s="845"/>
    </row>
    <row r="12" spans="1:17" s="632" customFormat="1" ht="14.25" x14ac:dyDescent="0.2">
      <c r="A12" s="628" t="s">
        <v>14</v>
      </c>
      <c r="B12" s="636" t="s">
        <v>75</v>
      </c>
      <c r="C12" s="631">
        <f>SUM(C13:C18)</f>
        <v>1065000000</v>
      </c>
      <c r="D12" s="884">
        <f t="shared" ref="D12:L12" si="4">SUM(D13:D18)</f>
        <v>1065000000</v>
      </c>
      <c r="E12" s="858">
        <f t="shared" si="4"/>
        <v>1065000000</v>
      </c>
      <c r="F12" s="631">
        <f t="shared" si="4"/>
        <v>0</v>
      </c>
      <c r="G12" s="631">
        <f t="shared" si="4"/>
        <v>0</v>
      </c>
      <c r="H12" s="884">
        <f t="shared" si="4"/>
        <v>0</v>
      </c>
      <c r="I12" s="858">
        <f t="shared" si="4"/>
        <v>0</v>
      </c>
      <c r="J12" s="631">
        <f t="shared" si="4"/>
        <v>0</v>
      </c>
      <c r="K12" s="631">
        <f t="shared" si="4"/>
        <v>0</v>
      </c>
      <c r="L12" s="858">
        <f t="shared" si="4"/>
        <v>0</v>
      </c>
      <c r="M12" s="630">
        <f t="shared" si="1"/>
        <v>1065000000</v>
      </c>
      <c r="N12" s="882">
        <f t="shared" si="2"/>
        <v>1065000000</v>
      </c>
      <c r="O12" s="856">
        <f t="shared" si="3"/>
        <v>1065000000</v>
      </c>
      <c r="P12" s="630"/>
      <c r="Q12" s="845"/>
    </row>
    <row r="13" spans="1:17" x14ac:dyDescent="0.25">
      <c r="A13" s="633" t="s">
        <v>430</v>
      </c>
      <c r="B13" s="634" t="s">
        <v>418</v>
      </c>
      <c r="C13" s="635">
        <v>305000000</v>
      </c>
      <c r="D13" s="883">
        <v>305000000</v>
      </c>
      <c r="E13" s="857">
        <v>305000000</v>
      </c>
      <c r="F13" s="635"/>
      <c r="G13" s="635">
        <v>0</v>
      </c>
      <c r="H13" s="883">
        <v>0</v>
      </c>
      <c r="I13" s="857"/>
      <c r="J13" s="635"/>
      <c r="K13" s="635">
        <v>0</v>
      </c>
      <c r="L13" s="857">
        <v>0</v>
      </c>
      <c r="M13" s="630">
        <f t="shared" si="1"/>
        <v>305000000</v>
      </c>
      <c r="N13" s="882">
        <f t="shared" si="2"/>
        <v>305000000</v>
      </c>
      <c r="O13" s="856">
        <f t="shared" si="3"/>
        <v>305000000</v>
      </c>
      <c r="P13" s="630"/>
      <c r="Q13" s="845"/>
    </row>
    <row r="14" spans="1:17" x14ac:dyDescent="0.25">
      <c r="A14" s="633" t="s">
        <v>431</v>
      </c>
      <c r="B14" s="634" t="s">
        <v>419</v>
      </c>
      <c r="C14" s="635">
        <v>90000000</v>
      </c>
      <c r="D14" s="883">
        <v>90000000</v>
      </c>
      <c r="E14" s="857">
        <v>90000000</v>
      </c>
      <c r="F14" s="635"/>
      <c r="G14" s="635">
        <v>0</v>
      </c>
      <c r="H14" s="883">
        <v>0</v>
      </c>
      <c r="I14" s="857"/>
      <c r="J14" s="635"/>
      <c r="K14" s="635">
        <v>0</v>
      </c>
      <c r="L14" s="857">
        <v>0</v>
      </c>
      <c r="M14" s="630">
        <f t="shared" si="1"/>
        <v>90000000</v>
      </c>
      <c r="N14" s="882">
        <f t="shared" si="2"/>
        <v>90000000</v>
      </c>
      <c r="O14" s="856">
        <f t="shared" si="3"/>
        <v>90000000</v>
      </c>
      <c r="P14" s="630"/>
      <c r="Q14" s="845"/>
    </row>
    <row r="15" spans="1:17" s="624" customFormat="1" ht="11.25" x14ac:dyDescent="0.2">
      <c r="A15" s="633" t="s">
        <v>432</v>
      </c>
      <c r="B15" s="634" t="s">
        <v>417</v>
      </c>
      <c r="C15" s="635">
        <v>662000000</v>
      </c>
      <c r="D15" s="883">
        <v>662000000</v>
      </c>
      <c r="E15" s="857">
        <v>662000000</v>
      </c>
      <c r="F15" s="635"/>
      <c r="G15" s="635">
        <v>0</v>
      </c>
      <c r="H15" s="883">
        <v>0</v>
      </c>
      <c r="I15" s="857"/>
      <c r="J15" s="635"/>
      <c r="K15" s="635">
        <v>0</v>
      </c>
      <c r="L15" s="857">
        <v>0</v>
      </c>
      <c r="M15" s="630">
        <f t="shared" si="1"/>
        <v>662000000</v>
      </c>
      <c r="N15" s="882">
        <f t="shared" si="2"/>
        <v>662000000</v>
      </c>
      <c r="O15" s="856">
        <f t="shared" si="3"/>
        <v>662000000</v>
      </c>
      <c r="P15" s="630"/>
      <c r="Q15" s="845"/>
    </row>
    <row r="16" spans="1:17" x14ac:dyDescent="0.25">
      <c r="A16" s="633" t="s">
        <v>433</v>
      </c>
      <c r="B16" s="634" t="s">
        <v>427</v>
      </c>
      <c r="C16" s="635">
        <v>0</v>
      </c>
      <c r="D16" s="883">
        <v>0</v>
      </c>
      <c r="E16" s="857">
        <v>0</v>
      </c>
      <c r="F16" s="635"/>
      <c r="G16" s="635">
        <v>0</v>
      </c>
      <c r="H16" s="883">
        <v>0</v>
      </c>
      <c r="I16" s="857"/>
      <c r="J16" s="635"/>
      <c r="K16" s="635">
        <v>0</v>
      </c>
      <c r="L16" s="857">
        <v>0</v>
      </c>
      <c r="M16" s="630">
        <f>C16+G16+K16</f>
        <v>0</v>
      </c>
      <c r="N16" s="882">
        <f>+D16+H16+L16</f>
        <v>0</v>
      </c>
      <c r="O16" s="856">
        <f>+E16+I16+L16</f>
        <v>0</v>
      </c>
      <c r="P16" s="630"/>
      <c r="Q16" s="845"/>
    </row>
    <row r="17" spans="1:17" x14ac:dyDescent="0.25">
      <c r="A17" s="633" t="s">
        <v>434</v>
      </c>
      <c r="B17" s="634" t="s">
        <v>426</v>
      </c>
      <c r="C17" s="635">
        <v>0</v>
      </c>
      <c r="D17" s="883">
        <v>0</v>
      </c>
      <c r="E17" s="857">
        <v>0</v>
      </c>
      <c r="F17" s="635"/>
      <c r="G17" s="635">
        <v>0</v>
      </c>
      <c r="H17" s="883">
        <v>0</v>
      </c>
      <c r="I17" s="857"/>
      <c r="J17" s="635"/>
      <c r="K17" s="635">
        <v>0</v>
      </c>
      <c r="L17" s="857">
        <v>0</v>
      </c>
      <c r="M17" s="630">
        <f t="shared" si="1"/>
        <v>0</v>
      </c>
      <c r="N17" s="882">
        <f t="shared" si="2"/>
        <v>0</v>
      </c>
      <c r="O17" s="856">
        <f t="shared" si="3"/>
        <v>0</v>
      </c>
      <c r="P17" s="630"/>
      <c r="Q17" s="845"/>
    </row>
    <row r="18" spans="1:17" x14ac:dyDescent="0.25">
      <c r="A18" s="633" t="s">
        <v>435</v>
      </c>
      <c r="B18" s="634" t="s">
        <v>428</v>
      </c>
      <c r="C18" s="635">
        <v>8000000</v>
      </c>
      <c r="D18" s="883">
        <v>8000000</v>
      </c>
      <c r="E18" s="857">
        <v>8000000</v>
      </c>
      <c r="F18" s="635"/>
      <c r="G18" s="635">
        <v>0</v>
      </c>
      <c r="H18" s="883">
        <v>0</v>
      </c>
      <c r="I18" s="857"/>
      <c r="J18" s="635"/>
      <c r="K18" s="635">
        <v>0</v>
      </c>
      <c r="L18" s="857">
        <v>0</v>
      </c>
      <c r="M18" s="630">
        <f t="shared" si="1"/>
        <v>8000000</v>
      </c>
      <c r="N18" s="882">
        <f t="shared" si="2"/>
        <v>8000000</v>
      </c>
      <c r="O18" s="856">
        <f t="shared" si="3"/>
        <v>8000000</v>
      </c>
      <c r="P18" s="630"/>
      <c r="Q18" s="845"/>
    </row>
    <row r="19" spans="1:17" s="632" customFormat="1" ht="14.25" x14ac:dyDescent="0.2">
      <c r="A19" s="628" t="s">
        <v>15</v>
      </c>
      <c r="B19" s="636" t="s">
        <v>76</v>
      </c>
      <c r="C19" s="631">
        <v>171600000</v>
      </c>
      <c r="D19" s="884">
        <v>171600000</v>
      </c>
      <c r="E19" s="858">
        <v>171600000</v>
      </c>
      <c r="F19" s="631"/>
      <c r="G19" s="631">
        <v>0</v>
      </c>
      <c r="H19" s="884">
        <v>0</v>
      </c>
      <c r="I19" s="858"/>
      <c r="J19" s="631"/>
      <c r="K19" s="631">
        <v>0</v>
      </c>
      <c r="L19" s="858">
        <v>0</v>
      </c>
      <c r="M19" s="630">
        <f t="shared" si="1"/>
        <v>171600000</v>
      </c>
      <c r="N19" s="882">
        <f t="shared" si="2"/>
        <v>171600000</v>
      </c>
      <c r="O19" s="856">
        <f t="shared" si="3"/>
        <v>171600000</v>
      </c>
      <c r="P19" s="630"/>
      <c r="Q19" s="845"/>
    </row>
    <row r="20" spans="1:17" s="632" customFormat="1" ht="14.25" x14ac:dyDescent="0.2">
      <c r="A20" s="628" t="s">
        <v>16</v>
      </c>
      <c r="B20" s="636" t="s">
        <v>77</v>
      </c>
      <c r="C20" s="631">
        <v>760000000</v>
      </c>
      <c r="D20" s="884">
        <v>760000000</v>
      </c>
      <c r="E20" s="858">
        <v>760000000</v>
      </c>
      <c r="F20" s="631"/>
      <c r="G20" s="631">
        <v>0</v>
      </c>
      <c r="H20" s="884">
        <v>0</v>
      </c>
      <c r="I20" s="858"/>
      <c r="J20" s="631"/>
      <c r="K20" s="631">
        <v>0</v>
      </c>
      <c r="L20" s="858">
        <v>0</v>
      </c>
      <c r="M20" s="630">
        <f t="shared" si="1"/>
        <v>760000000</v>
      </c>
      <c r="N20" s="882">
        <f t="shared" si="2"/>
        <v>760000000</v>
      </c>
      <c r="O20" s="856">
        <f t="shared" si="3"/>
        <v>760000000</v>
      </c>
      <c r="P20" s="630"/>
      <c r="Q20" s="845"/>
    </row>
    <row r="21" spans="1:17" s="632" customFormat="1" ht="14.25" x14ac:dyDescent="0.2">
      <c r="A21" s="628" t="s">
        <v>17</v>
      </c>
      <c r="B21" s="636" t="s">
        <v>78</v>
      </c>
      <c r="C21" s="631">
        <v>0</v>
      </c>
      <c r="D21" s="884">
        <f t="shared" ref="D21:E30" si="5">+C21</f>
        <v>0</v>
      </c>
      <c r="E21" s="858">
        <f t="shared" si="5"/>
        <v>0</v>
      </c>
      <c r="F21" s="631"/>
      <c r="G21" s="631">
        <v>0</v>
      </c>
      <c r="H21" s="884">
        <v>0</v>
      </c>
      <c r="I21" s="858"/>
      <c r="J21" s="631"/>
      <c r="K21" s="631">
        <v>0</v>
      </c>
      <c r="L21" s="858">
        <v>0</v>
      </c>
      <c r="M21" s="630">
        <f t="shared" si="1"/>
        <v>0</v>
      </c>
      <c r="N21" s="882">
        <f t="shared" si="2"/>
        <v>0</v>
      </c>
      <c r="O21" s="856">
        <f t="shared" si="3"/>
        <v>0</v>
      </c>
      <c r="P21" s="630"/>
      <c r="Q21" s="845"/>
    </row>
    <row r="22" spans="1:17" s="632" customFormat="1" ht="14.25" x14ac:dyDescent="0.2">
      <c r="A22" s="628" t="s">
        <v>18</v>
      </c>
      <c r="B22" s="636" t="s">
        <v>79</v>
      </c>
      <c r="C22" s="631">
        <v>0</v>
      </c>
      <c r="D22" s="884">
        <f t="shared" si="5"/>
        <v>0</v>
      </c>
      <c r="E22" s="858">
        <f t="shared" si="5"/>
        <v>0</v>
      </c>
      <c r="F22" s="631"/>
      <c r="G22" s="631">
        <v>0</v>
      </c>
      <c r="H22" s="884">
        <v>0</v>
      </c>
      <c r="I22" s="858"/>
      <c r="J22" s="631"/>
      <c r="K22" s="631">
        <v>0</v>
      </c>
      <c r="L22" s="858">
        <v>0</v>
      </c>
      <c r="M22" s="630">
        <f t="shared" si="1"/>
        <v>0</v>
      </c>
      <c r="N22" s="882">
        <f t="shared" si="2"/>
        <v>0</v>
      </c>
      <c r="O22" s="856">
        <f t="shared" si="3"/>
        <v>0</v>
      </c>
      <c r="P22" s="630"/>
      <c r="Q22" s="845"/>
    </row>
    <row r="23" spans="1:17" s="853" customFormat="1" ht="14.25" x14ac:dyDescent="0.2">
      <c r="A23" s="849" t="s">
        <v>19</v>
      </c>
      <c r="B23" s="850" t="s">
        <v>80</v>
      </c>
      <c r="C23" s="851">
        <f>C5+C6+C11+C12+C19+C20+C21+C22</f>
        <v>3396246000</v>
      </c>
      <c r="D23" s="885">
        <f t="shared" ref="D23:L23" si="6">D5+D6+D11+D12+D19+D20+D21+D22</f>
        <v>3396246000</v>
      </c>
      <c r="E23" s="859">
        <f t="shared" si="6"/>
        <v>3396246000</v>
      </c>
      <c r="F23" s="851">
        <f t="shared" si="6"/>
        <v>0</v>
      </c>
      <c r="G23" s="851">
        <f t="shared" si="6"/>
        <v>0</v>
      </c>
      <c r="H23" s="885">
        <f t="shared" si="6"/>
        <v>0</v>
      </c>
      <c r="I23" s="859">
        <f t="shared" si="6"/>
        <v>0</v>
      </c>
      <c r="J23" s="851">
        <f t="shared" si="6"/>
        <v>0</v>
      </c>
      <c r="K23" s="851">
        <f t="shared" si="6"/>
        <v>0</v>
      </c>
      <c r="L23" s="859">
        <f t="shared" si="6"/>
        <v>0</v>
      </c>
      <c r="M23" s="851">
        <f t="shared" si="1"/>
        <v>3396246000</v>
      </c>
      <c r="N23" s="885">
        <f t="shared" si="2"/>
        <v>3396246000</v>
      </c>
      <c r="O23" s="859">
        <f t="shared" si="3"/>
        <v>3396246000</v>
      </c>
      <c r="P23" s="852"/>
      <c r="Q23" s="845"/>
    </row>
    <row r="24" spans="1:17" x14ac:dyDescent="0.25">
      <c r="A24" s="633" t="s">
        <v>20</v>
      </c>
      <c r="B24" s="634" t="s">
        <v>356</v>
      </c>
      <c r="C24" s="635">
        <v>350000000</v>
      </c>
      <c r="D24" s="883">
        <f t="shared" si="5"/>
        <v>350000000</v>
      </c>
      <c r="E24" s="857">
        <f t="shared" ref="E24:E25" si="7">+D24</f>
        <v>350000000</v>
      </c>
      <c r="F24" s="635">
        <f t="shared" ref="F24:F25" si="8">+E24</f>
        <v>350000000</v>
      </c>
      <c r="G24" s="635">
        <v>0</v>
      </c>
      <c r="H24" s="883">
        <v>0</v>
      </c>
      <c r="I24" s="857"/>
      <c r="J24" s="635"/>
      <c r="K24" s="635">
        <v>0</v>
      </c>
      <c r="L24" s="857">
        <v>0</v>
      </c>
      <c r="M24" s="630">
        <f t="shared" si="1"/>
        <v>350000000</v>
      </c>
      <c r="N24" s="882">
        <f t="shared" si="2"/>
        <v>350000000</v>
      </c>
      <c r="O24" s="856">
        <f t="shared" si="3"/>
        <v>350000000</v>
      </c>
      <c r="P24" s="630"/>
      <c r="Q24" s="845"/>
    </row>
    <row r="25" spans="1:17" x14ac:dyDescent="0.25">
      <c r="A25" s="633" t="s">
        <v>21</v>
      </c>
      <c r="B25" s="634" t="s">
        <v>357</v>
      </c>
      <c r="C25" s="635">
        <v>350000000</v>
      </c>
      <c r="D25" s="883">
        <f t="shared" si="5"/>
        <v>350000000</v>
      </c>
      <c r="E25" s="857">
        <f t="shared" si="7"/>
        <v>350000000</v>
      </c>
      <c r="F25" s="635">
        <f t="shared" si="8"/>
        <v>350000000</v>
      </c>
      <c r="G25" s="635">
        <v>0</v>
      </c>
      <c r="H25" s="883">
        <v>0</v>
      </c>
      <c r="I25" s="857"/>
      <c r="J25" s="635"/>
      <c r="K25" s="635">
        <v>0</v>
      </c>
      <c r="L25" s="857">
        <v>0</v>
      </c>
      <c r="M25" s="630">
        <f t="shared" si="1"/>
        <v>350000000</v>
      </c>
      <c r="N25" s="882">
        <f t="shared" si="2"/>
        <v>350000000</v>
      </c>
      <c r="O25" s="856">
        <f t="shared" si="3"/>
        <v>350000000</v>
      </c>
      <c r="P25" s="630"/>
      <c r="Q25" s="845"/>
    </row>
    <row r="26" spans="1:17" x14ac:dyDescent="0.25">
      <c r="A26" s="633"/>
      <c r="B26" s="634" t="s">
        <v>82</v>
      </c>
      <c r="C26" s="635">
        <v>0</v>
      </c>
      <c r="D26" s="883">
        <f t="shared" si="5"/>
        <v>0</v>
      </c>
      <c r="E26" s="857">
        <f t="shared" si="5"/>
        <v>0</v>
      </c>
      <c r="F26" s="635"/>
      <c r="G26" s="635">
        <v>0</v>
      </c>
      <c r="H26" s="883">
        <v>0</v>
      </c>
      <c r="I26" s="857"/>
      <c r="J26" s="635"/>
      <c r="K26" s="635">
        <v>0</v>
      </c>
      <c r="L26" s="857">
        <v>0</v>
      </c>
      <c r="M26" s="630">
        <f t="shared" si="1"/>
        <v>0</v>
      </c>
      <c r="N26" s="882">
        <f t="shared" si="2"/>
        <v>0</v>
      </c>
      <c r="O26" s="856">
        <f t="shared" si="3"/>
        <v>0</v>
      </c>
      <c r="P26" s="630"/>
      <c r="Q26" s="845"/>
    </row>
    <row r="27" spans="1:17" s="632" customFormat="1" ht="14.25" x14ac:dyDescent="0.2">
      <c r="A27" s="628" t="s">
        <v>22</v>
      </c>
      <c r="B27" s="636" t="s">
        <v>152</v>
      </c>
      <c r="C27" s="631">
        <v>222000000</v>
      </c>
      <c r="D27" s="884">
        <f t="shared" si="5"/>
        <v>222000000</v>
      </c>
      <c r="E27" s="858">
        <v>211022755</v>
      </c>
      <c r="F27" s="631"/>
      <c r="G27" s="631">
        <v>0</v>
      </c>
      <c r="H27" s="884">
        <v>0</v>
      </c>
      <c r="I27" s="858"/>
      <c r="J27" s="631"/>
      <c r="K27" s="631">
        <v>0</v>
      </c>
      <c r="L27" s="858">
        <v>0</v>
      </c>
      <c r="M27" s="630">
        <f t="shared" si="1"/>
        <v>222000000</v>
      </c>
      <c r="N27" s="882">
        <f t="shared" si="2"/>
        <v>222000000</v>
      </c>
      <c r="O27" s="856">
        <f t="shared" si="3"/>
        <v>211022755</v>
      </c>
      <c r="P27" s="630"/>
      <c r="Q27" s="845">
        <f>+O27-N27</f>
        <v>-10977245</v>
      </c>
    </row>
    <row r="28" spans="1:17" x14ac:dyDescent="0.25">
      <c r="A28" s="633" t="s">
        <v>23</v>
      </c>
      <c r="B28" s="634" t="s">
        <v>83</v>
      </c>
      <c r="C28" s="635">
        <v>0</v>
      </c>
      <c r="D28" s="883">
        <f t="shared" si="5"/>
        <v>0</v>
      </c>
      <c r="E28" s="857">
        <f t="shared" si="5"/>
        <v>0</v>
      </c>
      <c r="F28" s="635"/>
      <c r="G28" s="635">
        <v>0</v>
      </c>
      <c r="H28" s="883">
        <v>0</v>
      </c>
      <c r="I28" s="857"/>
      <c r="J28" s="635"/>
      <c r="K28" s="635">
        <v>0</v>
      </c>
      <c r="L28" s="857">
        <v>0</v>
      </c>
      <c r="M28" s="630">
        <f t="shared" si="1"/>
        <v>0</v>
      </c>
      <c r="N28" s="882">
        <f t="shared" si="2"/>
        <v>0</v>
      </c>
      <c r="O28" s="856">
        <f t="shared" si="3"/>
        <v>0</v>
      </c>
      <c r="P28" s="630"/>
      <c r="Q28" s="845"/>
    </row>
    <row r="29" spans="1:17" x14ac:dyDescent="0.25">
      <c r="A29" s="633" t="s">
        <v>114</v>
      </c>
      <c r="B29" s="634" t="s">
        <v>84</v>
      </c>
      <c r="C29" s="635">
        <v>0</v>
      </c>
      <c r="D29" s="883">
        <f t="shared" si="5"/>
        <v>0</v>
      </c>
      <c r="E29" s="857">
        <f t="shared" si="5"/>
        <v>0</v>
      </c>
      <c r="F29" s="635"/>
      <c r="G29" s="635">
        <v>0</v>
      </c>
      <c r="H29" s="883">
        <v>0</v>
      </c>
      <c r="I29" s="857"/>
      <c r="J29" s="635"/>
      <c r="K29" s="635">
        <v>0</v>
      </c>
      <c r="L29" s="857">
        <v>0</v>
      </c>
      <c r="M29" s="630">
        <f t="shared" si="1"/>
        <v>0</v>
      </c>
      <c r="N29" s="882">
        <f t="shared" si="2"/>
        <v>0</v>
      </c>
      <c r="O29" s="856">
        <f t="shared" si="3"/>
        <v>0</v>
      </c>
      <c r="P29" s="630"/>
      <c r="Q29" s="845"/>
    </row>
    <row r="30" spans="1:17" x14ac:dyDescent="0.25">
      <c r="A30" s="633" t="s">
        <v>115</v>
      </c>
      <c r="B30" s="640" t="s">
        <v>210</v>
      </c>
      <c r="C30" s="641">
        <v>0</v>
      </c>
      <c r="D30" s="886">
        <f t="shared" si="5"/>
        <v>0</v>
      </c>
      <c r="E30" s="860">
        <f t="shared" si="5"/>
        <v>0</v>
      </c>
      <c r="F30" s="641"/>
      <c r="G30" s="642"/>
      <c r="H30" s="889"/>
      <c r="I30" s="874"/>
      <c r="J30" s="642"/>
      <c r="K30" s="642">
        <v>0</v>
      </c>
      <c r="L30" s="874">
        <v>0</v>
      </c>
      <c r="M30" s="630">
        <f t="shared" si="1"/>
        <v>0</v>
      </c>
      <c r="N30" s="882">
        <f t="shared" si="2"/>
        <v>0</v>
      </c>
      <c r="O30" s="856">
        <f t="shared" si="3"/>
        <v>0</v>
      </c>
      <c r="P30" s="630"/>
      <c r="Q30" s="845"/>
    </row>
    <row r="31" spans="1:17" x14ac:dyDescent="0.25">
      <c r="A31" s="633" t="s">
        <v>24</v>
      </c>
      <c r="B31" s="640" t="s">
        <v>314</v>
      </c>
      <c r="C31" s="641">
        <v>42637000</v>
      </c>
      <c r="D31" s="886">
        <v>42636786</v>
      </c>
      <c r="E31" s="860">
        <v>42636786</v>
      </c>
      <c r="F31" s="641"/>
      <c r="G31" s="641">
        <v>0</v>
      </c>
      <c r="H31" s="886">
        <v>0</v>
      </c>
      <c r="I31" s="860"/>
      <c r="J31" s="641"/>
      <c r="K31" s="641">
        <v>0</v>
      </c>
      <c r="L31" s="860">
        <v>0</v>
      </c>
      <c r="M31" s="630">
        <f t="shared" si="1"/>
        <v>42637000</v>
      </c>
      <c r="N31" s="882">
        <f t="shared" si="2"/>
        <v>42636786</v>
      </c>
      <c r="O31" s="856">
        <f t="shared" si="3"/>
        <v>42636786</v>
      </c>
      <c r="P31" s="630"/>
      <c r="Q31" s="845"/>
    </row>
    <row r="32" spans="1:17" x14ac:dyDescent="0.25">
      <c r="A32" s="633" t="s">
        <v>25</v>
      </c>
      <c r="B32" s="640" t="s">
        <v>86</v>
      </c>
      <c r="C32" s="641">
        <v>0</v>
      </c>
      <c r="D32" s="886">
        <f>+C32</f>
        <v>0</v>
      </c>
      <c r="E32" s="860">
        <f>+D32</f>
        <v>0</v>
      </c>
      <c r="F32" s="641"/>
      <c r="G32" s="641">
        <v>0</v>
      </c>
      <c r="H32" s="886">
        <v>0</v>
      </c>
      <c r="I32" s="860"/>
      <c r="J32" s="641"/>
      <c r="K32" s="641">
        <v>0</v>
      </c>
      <c r="L32" s="860">
        <v>0</v>
      </c>
      <c r="M32" s="630">
        <f t="shared" si="1"/>
        <v>0</v>
      </c>
      <c r="N32" s="882">
        <f t="shared" si="2"/>
        <v>0</v>
      </c>
      <c r="O32" s="856">
        <f t="shared" si="3"/>
        <v>0</v>
      </c>
      <c r="P32" s="630"/>
      <c r="Q32" s="845"/>
    </row>
    <row r="33" spans="1:17" s="632" customFormat="1" ht="14.25" x14ac:dyDescent="0.2">
      <c r="A33" s="637" t="s">
        <v>26</v>
      </c>
      <c r="B33" s="638" t="s">
        <v>87</v>
      </c>
      <c r="C33" s="639">
        <f>C24+C26+C27+C28+C31+C32+C25</f>
        <v>964637000</v>
      </c>
      <c r="D33" s="887">
        <f>D24+D26+D27+D28+D31+D32+D25</f>
        <v>964636786</v>
      </c>
      <c r="E33" s="861">
        <f t="shared" ref="E33:O33" si="9">E24+E26+E27+E28+E31+E32+E25</f>
        <v>953659541</v>
      </c>
      <c r="F33" s="639">
        <f t="shared" si="9"/>
        <v>700000000</v>
      </c>
      <c r="G33" s="639">
        <f t="shared" si="9"/>
        <v>0</v>
      </c>
      <c r="H33" s="887">
        <f t="shared" si="9"/>
        <v>0</v>
      </c>
      <c r="I33" s="861">
        <f t="shared" si="9"/>
        <v>0</v>
      </c>
      <c r="J33" s="639">
        <f t="shared" si="9"/>
        <v>0</v>
      </c>
      <c r="K33" s="639">
        <f t="shared" si="9"/>
        <v>0</v>
      </c>
      <c r="L33" s="861">
        <f t="shared" si="9"/>
        <v>0</v>
      </c>
      <c r="M33" s="639">
        <f t="shared" si="9"/>
        <v>964637000</v>
      </c>
      <c r="N33" s="887">
        <f t="shared" si="9"/>
        <v>964636786</v>
      </c>
      <c r="O33" s="861">
        <f t="shared" si="9"/>
        <v>953659541</v>
      </c>
      <c r="P33" s="630"/>
      <c r="Q33" s="845">
        <f t="shared" ref="Q33" si="10">+O33-N33</f>
        <v>-10977245</v>
      </c>
    </row>
    <row r="34" spans="1:17" s="632" customFormat="1" ht="14.25" x14ac:dyDescent="0.2">
      <c r="A34" s="643" t="s">
        <v>27</v>
      </c>
      <c r="B34" s="644" t="s">
        <v>88</v>
      </c>
      <c r="C34" s="645">
        <f>C23+C33</f>
        <v>4360883000</v>
      </c>
      <c r="D34" s="888">
        <f>D23+D33</f>
        <v>4360882786</v>
      </c>
      <c r="E34" s="862">
        <f t="shared" ref="E34:O34" si="11">E23+E33</f>
        <v>4349905541</v>
      </c>
      <c r="F34" s="645">
        <f t="shared" si="11"/>
        <v>700000000</v>
      </c>
      <c r="G34" s="645">
        <f t="shared" si="11"/>
        <v>0</v>
      </c>
      <c r="H34" s="888">
        <f t="shared" si="11"/>
        <v>0</v>
      </c>
      <c r="I34" s="862">
        <f t="shared" si="11"/>
        <v>0</v>
      </c>
      <c r="J34" s="645">
        <f t="shared" si="11"/>
        <v>0</v>
      </c>
      <c r="K34" s="645">
        <f t="shared" si="11"/>
        <v>0</v>
      </c>
      <c r="L34" s="862">
        <f t="shared" si="11"/>
        <v>0</v>
      </c>
      <c r="M34" s="645">
        <f t="shared" si="11"/>
        <v>4360883000</v>
      </c>
      <c r="N34" s="888">
        <f t="shared" si="11"/>
        <v>4360882786</v>
      </c>
      <c r="O34" s="862">
        <f t="shared" si="11"/>
        <v>4349905541</v>
      </c>
      <c r="P34" s="630"/>
      <c r="Q34" s="845">
        <f>+O34-N34</f>
        <v>-10977245</v>
      </c>
    </row>
    <row r="35" spans="1:17" x14ac:dyDescent="0.25">
      <c r="A35" s="843"/>
      <c r="B35" s="952"/>
      <c r="C35" s="953"/>
      <c r="D35" s="897"/>
      <c r="E35" s="954"/>
      <c r="F35" s="953"/>
      <c r="G35" s="953"/>
      <c r="H35" s="955">
        <f>+D34+H34</f>
        <v>4360882786</v>
      </c>
      <c r="I35" s="954"/>
      <c r="J35" s="953">
        <f>+F34+J34</f>
        <v>700000000</v>
      </c>
      <c r="K35" s="953"/>
      <c r="L35" s="865"/>
      <c r="M35" s="953"/>
      <c r="N35" s="955"/>
      <c r="O35" s="954"/>
      <c r="P35" s="951"/>
    </row>
    <row r="36" spans="1:17" x14ac:dyDescent="0.25">
      <c r="B36" s="646" t="s">
        <v>5</v>
      </c>
      <c r="C36" s="647"/>
      <c r="D36" s="890"/>
      <c r="E36" s="863"/>
      <c r="F36" s="647"/>
      <c r="I36" s="875"/>
      <c r="M36" s="623" t="s">
        <v>339</v>
      </c>
      <c r="N36" s="899"/>
      <c r="O36" s="873"/>
      <c r="P36" s="624"/>
    </row>
    <row r="37" spans="1:17" s="1022" customFormat="1" ht="61.5" customHeight="1" x14ac:dyDescent="0.25">
      <c r="A37" s="625" t="s">
        <v>223</v>
      </c>
      <c r="B37" s="1021" t="s">
        <v>31</v>
      </c>
      <c r="C37" s="626" t="s">
        <v>460</v>
      </c>
      <c r="D37" s="881" t="s">
        <v>459</v>
      </c>
      <c r="E37" s="337" t="s">
        <v>461</v>
      </c>
      <c r="F37" s="626" t="s">
        <v>462</v>
      </c>
      <c r="G37" s="626" t="s">
        <v>463</v>
      </c>
      <c r="H37" s="902" t="s">
        <v>642</v>
      </c>
      <c r="I37" s="337" t="s">
        <v>643</v>
      </c>
      <c r="J37" s="626" t="s">
        <v>644</v>
      </c>
      <c r="K37" s="626" t="s">
        <v>465</v>
      </c>
      <c r="L37" s="337" t="s">
        <v>466</v>
      </c>
      <c r="M37" s="626" t="s">
        <v>467</v>
      </c>
      <c r="N37" s="900" t="s">
        <v>468</v>
      </c>
      <c r="O37" s="339" t="s">
        <v>469</v>
      </c>
      <c r="P37" s="625" t="s">
        <v>476</v>
      </c>
    </row>
    <row r="38" spans="1:17" s="632" customFormat="1" ht="12.75" customHeight="1" x14ac:dyDescent="0.2">
      <c r="A38" s="648" t="s">
        <v>11</v>
      </c>
      <c r="B38" s="636" t="s">
        <v>90</v>
      </c>
      <c r="C38" s="649">
        <f>C39+C40+C41+C42+C43+C48</f>
        <v>1494833000</v>
      </c>
      <c r="D38" s="891">
        <f>D39+D40+D41+D42+D43+D48</f>
        <v>1494833000</v>
      </c>
      <c r="E38" s="864">
        <f>E39+E40+E41+E42+E43+E48</f>
        <v>1454795702</v>
      </c>
      <c r="F38" s="649"/>
      <c r="G38" s="649">
        <f>G39+G40+G41+G42+G43+G48</f>
        <v>104492000</v>
      </c>
      <c r="H38" s="891">
        <f>H39+H40+H41+H42+H43+H48</f>
        <v>104492000</v>
      </c>
      <c r="I38" s="864">
        <f t="shared" ref="I38:L38" si="12">I39+I40+I41+I42+I43+I48</f>
        <v>108692000</v>
      </c>
      <c r="J38" s="649">
        <f t="shared" si="12"/>
        <v>0</v>
      </c>
      <c r="K38" s="649">
        <f t="shared" si="12"/>
        <v>0</v>
      </c>
      <c r="L38" s="864">
        <f t="shared" si="12"/>
        <v>0</v>
      </c>
      <c r="M38" s="631">
        <f t="shared" ref="M38:M61" si="13">C38+G38+K38</f>
        <v>1599325000</v>
      </c>
      <c r="N38" s="884">
        <f t="shared" ref="N38:N61" si="14">+D38+H38+L38</f>
        <v>1599325000</v>
      </c>
      <c r="O38" s="858">
        <f>+E38+I38+L38</f>
        <v>1563487702</v>
      </c>
      <c r="P38" s="631"/>
      <c r="Q38" s="845"/>
    </row>
    <row r="39" spans="1:17" ht="12.75" customHeight="1" x14ac:dyDescent="0.25">
      <c r="A39" s="650" t="s">
        <v>53</v>
      </c>
      <c r="B39" s="634" t="s">
        <v>6</v>
      </c>
      <c r="C39" s="635">
        <v>77028000</v>
      </c>
      <c r="D39" s="883">
        <f>+C39</f>
        <v>77028000</v>
      </c>
      <c r="E39" s="857">
        <f>+D39</f>
        <v>77028000</v>
      </c>
      <c r="F39" s="635"/>
      <c r="G39" s="635">
        <v>0</v>
      </c>
      <c r="H39" s="883">
        <f>+G39</f>
        <v>0</v>
      </c>
      <c r="I39" s="857"/>
      <c r="J39" s="635"/>
      <c r="K39" s="635">
        <v>0</v>
      </c>
      <c r="L39" s="857">
        <v>0</v>
      </c>
      <c r="M39" s="631">
        <f t="shared" si="13"/>
        <v>77028000</v>
      </c>
      <c r="N39" s="884">
        <f t="shared" si="14"/>
        <v>77028000</v>
      </c>
      <c r="O39" s="858">
        <f t="shared" ref="O39:O53" si="15">+E39+I39+L39</f>
        <v>77028000</v>
      </c>
      <c r="P39" s="631"/>
      <c r="Q39" s="845"/>
    </row>
    <row r="40" spans="1:17" ht="12.75" customHeight="1" x14ac:dyDescent="0.25">
      <c r="A40" s="650" t="s">
        <v>54</v>
      </c>
      <c r="B40" s="634" t="s">
        <v>94</v>
      </c>
      <c r="C40" s="635">
        <v>12083000</v>
      </c>
      <c r="D40" s="883">
        <f>+C40</f>
        <v>12083000</v>
      </c>
      <c r="E40" s="857">
        <f>+D40</f>
        <v>12083000</v>
      </c>
      <c r="F40" s="635"/>
      <c r="G40" s="635">
        <v>0</v>
      </c>
      <c r="H40" s="883">
        <f>+G40</f>
        <v>0</v>
      </c>
      <c r="I40" s="857"/>
      <c r="J40" s="635"/>
      <c r="K40" s="635">
        <v>0</v>
      </c>
      <c r="L40" s="857">
        <v>0</v>
      </c>
      <c r="M40" s="631">
        <f t="shared" si="13"/>
        <v>12083000</v>
      </c>
      <c r="N40" s="884">
        <f t="shared" si="14"/>
        <v>12083000</v>
      </c>
      <c r="O40" s="858">
        <f t="shared" si="15"/>
        <v>12083000</v>
      </c>
      <c r="P40" s="631"/>
      <c r="Q40" s="845"/>
    </row>
    <row r="41" spans="1:17" ht="12.75" customHeight="1" x14ac:dyDescent="0.25">
      <c r="A41" s="650" t="s">
        <v>55</v>
      </c>
      <c r="B41" s="634" t="s">
        <v>95</v>
      </c>
      <c r="C41" s="635">
        <v>724494000</v>
      </c>
      <c r="D41" s="883">
        <v>765919000</v>
      </c>
      <c r="E41" s="857">
        <f>+D41+20301000+15025351-1182148</f>
        <v>800063203</v>
      </c>
      <c r="F41" s="635"/>
      <c r="G41" s="635">
        <v>0</v>
      </c>
      <c r="H41" s="883">
        <f>+G41</f>
        <v>0</v>
      </c>
      <c r="I41" s="857"/>
      <c r="J41" s="635"/>
      <c r="K41" s="635">
        <v>0</v>
      </c>
      <c r="L41" s="857">
        <v>0</v>
      </c>
      <c r="M41" s="631">
        <f t="shared" si="13"/>
        <v>724494000</v>
      </c>
      <c r="N41" s="884">
        <f t="shared" si="14"/>
        <v>765919000</v>
      </c>
      <c r="O41" s="858">
        <f t="shared" si="15"/>
        <v>800063203</v>
      </c>
      <c r="P41" s="631"/>
      <c r="Q41" s="845">
        <f>+O41-N41</f>
        <v>34144203</v>
      </c>
    </row>
    <row r="42" spans="1:17" ht="12.75" customHeight="1" x14ac:dyDescent="0.25">
      <c r="A42" s="650" t="s">
        <v>56</v>
      </c>
      <c r="B42" s="634" t="s">
        <v>96</v>
      </c>
      <c r="C42" s="635">
        <v>0</v>
      </c>
      <c r="D42" s="883">
        <f>+C42</f>
        <v>0</v>
      </c>
      <c r="E42" s="857"/>
      <c r="F42" s="635"/>
      <c r="G42" s="635">
        <v>17000000</v>
      </c>
      <c r="H42" s="883">
        <f>+G42</f>
        <v>17000000</v>
      </c>
      <c r="I42" s="857">
        <f>+H42</f>
        <v>17000000</v>
      </c>
      <c r="J42" s="635"/>
      <c r="K42" s="635">
        <v>0</v>
      </c>
      <c r="L42" s="857">
        <v>0</v>
      </c>
      <c r="M42" s="631">
        <f t="shared" si="13"/>
        <v>17000000</v>
      </c>
      <c r="N42" s="884">
        <f t="shared" si="14"/>
        <v>17000000</v>
      </c>
      <c r="O42" s="858">
        <f t="shared" si="15"/>
        <v>17000000</v>
      </c>
      <c r="P42" s="631"/>
    </row>
    <row r="43" spans="1:17" s="632" customFormat="1" ht="12.75" customHeight="1" x14ac:dyDescent="0.2">
      <c r="A43" s="651" t="s">
        <v>57</v>
      </c>
      <c r="B43" s="636" t="s">
        <v>97</v>
      </c>
      <c r="C43" s="631">
        <f>+C44+C45</f>
        <v>544632000</v>
      </c>
      <c r="D43" s="884">
        <f t="shared" ref="D43:G43" si="16">+D44+D45</f>
        <v>544632000</v>
      </c>
      <c r="E43" s="858">
        <f>+E44+E45</f>
        <v>547623513</v>
      </c>
      <c r="F43" s="631">
        <f t="shared" si="16"/>
        <v>0</v>
      </c>
      <c r="G43" s="631">
        <f t="shared" si="16"/>
        <v>87492000</v>
      </c>
      <c r="H43" s="884">
        <f>+H44+H45</f>
        <v>87492000</v>
      </c>
      <c r="I43" s="858">
        <f t="shared" ref="I43:L43" si="17">+I44+I45</f>
        <v>91692000</v>
      </c>
      <c r="J43" s="631">
        <f t="shared" si="17"/>
        <v>0</v>
      </c>
      <c r="K43" s="631">
        <f t="shared" si="17"/>
        <v>0</v>
      </c>
      <c r="L43" s="858">
        <f t="shared" si="17"/>
        <v>0</v>
      </c>
      <c r="M43" s="631">
        <f t="shared" si="13"/>
        <v>632124000</v>
      </c>
      <c r="N43" s="884">
        <f t="shared" si="14"/>
        <v>632124000</v>
      </c>
      <c r="O43" s="858">
        <f t="shared" si="15"/>
        <v>639315513</v>
      </c>
      <c r="P43" s="631"/>
    </row>
    <row r="44" spans="1:17" ht="12.75" customHeight="1" x14ac:dyDescent="0.25">
      <c r="A44" s="650" t="s">
        <v>91</v>
      </c>
      <c r="B44" s="634" t="s">
        <v>330</v>
      </c>
      <c r="C44" s="635"/>
      <c r="D44" s="883"/>
      <c r="E44" s="857"/>
      <c r="F44" s="635"/>
      <c r="G44" s="635"/>
      <c r="H44" s="883"/>
      <c r="I44" s="857"/>
      <c r="J44" s="635"/>
      <c r="K44" s="635"/>
      <c r="L44" s="857"/>
      <c r="M44" s="631">
        <f>C44+G44+K44</f>
        <v>0</v>
      </c>
      <c r="N44" s="884">
        <f t="shared" si="14"/>
        <v>0</v>
      </c>
      <c r="O44" s="858">
        <f t="shared" si="15"/>
        <v>0</v>
      </c>
      <c r="P44" s="631"/>
    </row>
    <row r="45" spans="1:17" ht="12.75" customHeight="1" x14ac:dyDescent="0.25">
      <c r="A45" s="650" t="s">
        <v>92</v>
      </c>
      <c r="B45" s="634" t="s">
        <v>421</v>
      </c>
      <c r="C45" s="635">
        <f>+C46+C47</f>
        <v>544632000</v>
      </c>
      <c r="D45" s="883">
        <f t="shared" ref="D45:G45" si="18">+D46+D47</f>
        <v>544632000</v>
      </c>
      <c r="E45" s="857">
        <f>+E46+E47</f>
        <v>547623513</v>
      </c>
      <c r="F45" s="635">
        <f t="shared" si="18"/>
        <v>0</v>
      </c>
      <c r="G45" s="635">
        <f t="shared" si="18"/>
        <v>87492000</v>
      </c>
      <c r="H45" s="883">
        <f>+H46+H47</f>
        <v>87492000</v>
      </c>
      <c r="I45" s="857">
        <f t="shared" ref="I45:L45" si="19">+I46+I47</f>
        <v>91692000</v>
      </c>
      <c r="J45" s="635">
        <f t="shared" si="19"/>
        <v>0</v>
      </c>
      <c r="K45" s="635">
        <f t="shared" si="19"/>
        <v>0</v>
      </c>
      <c r="L45" s="857">
        <f t="shared" si="19"/>
        <v>0</v>
      </c>
      <c r="M45" s="635">
        <f>C45+G45+K45</f>
        <v>632124000</v>
      </c>
      <c r="N45" s="883">
        <f>+D45+H45+L45</f>
        <v>632124000</v>
      </c>
      <c r="O45" s="857">
        <f t="shared" si="15"/>
        <v>639315513</v>
      </c>
      <c r="P45" s="635"/>
      <c r="Q45" s="845">
        <f>+O45-N45</f>
        <v>7191513</v>
      </c>
    </row>
    <row r="46" spans="1:17" ht="12.75" customHeight="1" x14ac:dyDescent="0.25">
      <c r="A46" s="650" t="s">
        <v>329</v>
      </c>
      <c r="B46" s="634" t="s">
        <v>98</v>
      </c>
      <c r="C46" s="635">
        <v>241272000</v>
      </c>
      <c r="D46" s="883">
        <f>+C46</f>
        <v>241272000</v>
      </c>
      <c r="E46" s="857">
        <v>244263513</v>
      </c>
      <c r="F46" s="635"/>
      <c r="G46" s="635">
        <v>40392000</v>
      </c>
      <c r="H46" s="883">
        <f>+G46</f>
        <v>40392000</v>
      </c>
      <c r="I46" s="857">
        <v>44592000</v>
      </c>
      <c r="J46" s="635"/>
      <c r="K46" s="635">
        <v>0</v>
      </c>
      <c r="L46" s="857">
        <v>0</v>
      </c>
      <c r="M46" s="631">
        <f t="shared" si="13"/>
        <v>281664000</v>
      </c>
      <c r="N46" s="884">
        <f t="shared" si="14"/>
        <v>281664000</v>
      </c>
      <c r="O46" s="858">
        <f t="shared" si="15"/>
        <v>288855513</v>
      </c>
      <c r="P46" s="631"/>
    </row>
    <row r="47" spans="1:17" ht="12.75" customHeight="1" x14ac:dyDescent="0.25">
      <c r="A47" s="650" t="s">
        <v>420</v>
      </c>
      <c r="B47" s="634" t="s">
        <v>99</v>
      </c>
      <c r="C47" s="635">
        <v>303360000</v>
      </c>
      <c r="D47" s="883">
        <f>632124000-D46-H46-H47</f>
        <v>303360000</v>
      </c>
      <c r="E47" s="857">
        <f>+D47</f>
        <v>303360000</v>
      </c>
      <c r="F47" s="635"/>
      <c r="G47" s="635">
        <v>47100000</v>
      </c>
      <c r="H47" s="883">
        <f>+G47</f>
        <v>47100000</v>
      </c>
      <c r="I47" s="857">
        <f>+H47</f>
        <v>47100000</v>
      </c>
      <c r="J47" s="635"/>
      <c r="K47" s="635">
        <v>0</v>
      </c>
      <c r="L47" s="857">
        <v>0</v>
      </c>
      <c r="M47" s="631">
        <f t="shared" si="13"/>
        <v>350460000</v>
      </c>
      <c r="N47" s="884">
        <f t="shared" si="14"/>
        <v>350460000</v>
      </c>
      <c r="O47" s="858">
        <f t="shared" si="15"/>
        <v>350460000</v>
      </c>
      <c r="P47" s="631"/>
    </row>
    <row r="48" spans="1:17" s="632" customFormat="1" ht="12.75" customHeight="1" x14ac:dyDescent="0.2">
      <c r="A48" s="651" t="s">
        <v>93</v>
      </c>
      <c r="B48" s="636" t="s">
        <v>8</v>
      </c>
      <c r="C48" s="631">
        <v>136596000</v>
      </c>
      <c r="D48" s="884">
        <f>134396000-39225000</f>
        <v>95171000</v>
      </c>
      <c r="E48" s="858">
        <v>17997986</v>
      </c>
      <c r="F48" s="631"/>
      <c r="G48" s="631">
        <v>0</v>
      </c>
      <c r="H48" s="884">
        <v>0</v>
      </c>
      <c r="I48" s="858">
        <v>0</v>
      </c>
      <c r="J48" s="631"/>
      <c r="K48" s="631">
        <v>0</v>
      </c>
      <c r="L48" s="858">
        <v>0</v>
      </c>
      <c r="M48" s="631">
        <f t="shared" si="13"/>
        <v>136596000</v>
      </c>
      <c r="N48" s="884">
        <f t="shared" si="14"/>
        <v>95171000</v>
      </c>
      <c r="O48" s="858">
        <f t="shared" si="15"/>
        <v>17997986</v>
      </c>
      <c r="P48" s="631"/>
      <c r="Q48" s="845">
        <f>+O48-N48</f>
        <v>-77173014</v>
      </c>
    </row>
    <row r="49" spans="1:17" ht="12.75" customHeight="1" x14ac:dyDescent="0.25">
      <c r="A49" s="650"/>
      <c r="B49" s="634" t="s">
        <v>250</v>
      </c>
      <c r="C49" s="635">
        <v>109596000</v>
      </c>
      <c r="D49" s="883">
        <f>+C49-(C48-D48)</f>
        <v>68171000</v>
      </c>
      <c r="E49" s="857">
        <v>9000000</v>
      </c>
      <c r="F49" s="635"/>
      <c r="G49" s="635">
        <v>0</v>
      </c>
      <c r="H49" s="883">
        <v>0</v>
      </c>
      <c r="I49" s="857">
        <v>0</v>
      </c>
      <c r="J49" s="635"/>
      <c r="K49" s="635">
        <v>0</v>
      </c>
      <c r="L49" s="857">
        <v>0</v>
      </c>
      <c r="M49" s="631">
        <f t="shared" si="13"/>
        <v>109596000</v>
      </c>
      <c r="N49" s="884">
        <f t="shared" si="14"/>
        <v>68171000</v>
      </c>
      <c r="O49" s="858">
        <f t="shared" si="15"/>
        <v>9000000</v>
      </c>
      <c r="P49" s="631"/>
    </row>
    <row r="50" spans="1:17" s="632" customFormat="1" ht="12.75" customHeight="1" x14ac:dyDescent="0.2">
      <c r="A50" s="651" t="s">
        <v>12</v>
      </c>
      <c r="B50" s="636" t="s">
        <v>100</v>
      </c>
      <c r="C50" s="631">
        <f>+C51+C52+C53</f>
        <v>1125372000</v>
      </c>
      <c r="D50" s="884">
        <f t="shared" ref="D50:L50" si="20">+D51+D52+D53</f>
        <v>1125372000</v>
      </c>
      <c r="E50" s="858">
        <f t="shared" si="20"/>
        <v>1150232053</v>
      </c>
      <c r="F50" s="631">
        <f t="shared" si="20"/>
        <v>0</v>
      </c>
      <c r="G50" s="631">
        <f t="shared" si="20"/>
        <v>0</v>
      </c>
      <c r="H50" s="884">
        <f t="shared" si="20"/>
        <v>0</v>
      </c>
      <c r="I50" s="858">
        <f t="shared" si="20"/>
        <v>0</v>
      </c>
      <c r="J50" s="631">
        <f t="shared" si="20"/>
        <v>0</v>
      </c>
      <c r="K50" s="631">
        <f t="shared" si="20"/>
        <v>0</v>
      </c>
      <c r="L50" s="858">
        <f t="shared" si="20"/>
        <v>0</v>
      </c>
      <c r="M50" s="631">
        <f t="shared" si="13"/>
        <v>1125372000</v>
      </c>
      <c r="N50" s="884">
        <f t="shared" si="14"/>
        <v>1125372000</v>
      </c>
      <c r="O50" s="858">
        <f t="shared" si="15"/>
        <v>1150232053</v>
      </c>
      <c r="P50" s="631"/>
      <c r="Q50" s="845"/>
    </row>
    <row r="51" spans="1:17" ht="12.75" customHeight="1" x14ac:dyDescent="0.25">
      <c r="A51" s="650" t="s">
        <v>49</v>
      </c>
      <c r="B51" s="634" t="s">
        <v>9</v>
      </c>
      <c r="C51" s="635">
        <v>949826000</v>
      </c>
      <c r="D51" s="883">
        <f>+C51</f>
        <v>949826000</v>
      </c>
      <c r="E51" s="857">
        <f>+D51+56138298-10977245-20301000</f>
        <v>974686053</v>
      </c>
      <c r="F51" s="635"/>
      <c r="G51" s="635">
        <v>0</v>
      </c>
      <c r="H51" s="883">
        <v>0</v>
      </c>
      <c r="I51" s="857">
        <v>0</v>
      </c>
      <c r="J51" s="635"/>
      <c r="K51" s="635">
        <v>0</v>
      </c>
      <c r="L51" s="857">
        <v>0</v>
      </c>
      <c r="M51" s="635">
        <f t="shared" si="13"/>
        <v>949826000</v>
      </c>
      <c r="N51" s="883">
        <f t="shared" si="14"/>
        <v>949826000</v>
      </c>
      <c r="O51" s="858">
        <f t="shared" si="15"/>
        <v>974686053</v>
      </c>
      <c r="P51" s="635"/>
      <c r="Q51" s="845">
        <f>+O51-N51</f>
        <v>24860053</v>
      </c>
    </row>
    <row r="52" spans="1:17" ht="12.75" customHeight="1" x14ac:dyDescent="0.25">
      <c r="A52" s="650" t="s">
        <v>50</v>
      </c>
      <c r="B52" s="634" t="s">
        <v>10</v>
      </c>
      <c r="C52" s="635">
        <v>175546000</v>
      </c>
      <c r="D52" s="883">
        <v>175546000</v>
      </c>
      <c r="E52" s="857">
        <f>+D52</f>
        <v>175546000</v>
      </c>
      <c r="F52" s="635"/>
      <c r="G52" s="635">
        <v>0</v>
      </c>
      <c r="H52" s="883">
        <v>0</v>
      </c>
      <c r="I52" s="857">
        <v>0</v>
      </c>
      <c r="J52" s="635"/>
      <c r="K52" s="635">
        <v>0</v>
      </c>
      <c r="L52" s="857">
        <v>0</v>
      </c>
      <c r="M52" s="635">
        <f t="shared" si="13"/>
        <v>175546000</v>
      </c>
      <c r="N52" s="883">
        <f t="shared" si="14"/>
        <v>175546000</v>
      </c>
      <c r="O52" s="858">
        <f t="shared" si="15"/>
        <v>175546000</v>
      </c>
      <c r="P52" s="635"/>
    </row>
    <row r="53" spans="1:17" ht="12.75" customHeight="1" x14ac:dyDescent="0.25">
      <c r="A53" s="650" t="s">
        <v>58</v>
      </c>
      <c r="B53" s="634" t="s">
        <v>101</v>
      </c>
      <c r="C53" s="635">
        <v>0</v>
      </c>
      <c r="D53" s="883"/>
      <c r="E53" s="857"/>
      <c r="F53" s="635"/>
      <c r="G53" s="635">
        <v>0</v>
      </c>
      <c r="H53" s="883">
        <v>0</v>
      </c>
      <c r="I53" s="857">
        <v>0</v>
      </c>
      <c r="J53" s="635"/>
      <c r="K53" s="635">
        <v>0</v>
      </c>
      <c r="L53" s="857">
        <v>0</v>
      </c>
      <c r="M53" s="635">
        <f t="shared" si="13"/>
        <v>0</v>
      </c>
      <c r="N53" s="883">
        <f t="shared" si="14"/>
        <v>0</v>
      </c>
      <c r="O53" s="858">
        <f t="shared" si="15"/>
        <v>0</v>
      </c>
      <c r="P53" s="635"/>
    </row>
    <row r="54" spans="1:17" s="632" customFormat="1" ht="12.75" customHeight="1" x14ac:dyDescent="0.2">
      <c r="A54" s="637" t="s">
        <v>13</v>
      </c>
      <c r="B54" s="638" t="s">
        <v>102</v>
      </c>
      <c r="C54" s="639">
        <f>C38+C50</f>
        <v>2620205000</v>
      </c>
      <c r="D54" s="887">
        <f t="shared" ref="D54:M54" si="21">D38+D50</f>
        <v>2620205000</v>
      </c>
      <c r="E54" s="861">
        <f t="shared" si="21"/>
        <v>2605027755</v>
      </c>
      <c r="F54" s="639">
        <f t="shared" si="21"/>
        <v>0</v>
      </c>
      <c r="G54" s="639">
        <f t="shared" si="21"/>
        <v>104492000</v>
      </c>
      <c r="H54" s="887">
        <f t="shared" si="21"/>
        <v>104492000</v>
      </c>
      <c r="I54" s="861">
        <f t="shared" si="21"/>
        <v>108692000</v>
      </c>
      <c r="J54" s="639">
        <f t="shared" si="21"/>
        <v>0</v>
      </c>
      <c r="K54" s="639">
        <f t="shared" si="21"/>
        <v>0</v>
      </c>
      <c r="L54" s="861">
        <f t="shared" si="21"/>
        <v>0</v>
      </c>
      <c r="M54" s="639">
        <f t="shared" si="21"/>
        <v>2724697000</v>
      </c>
      <c r="N54" s="887">
        <f>N38+N50</f>
        <v>2724697000</v>
      </c>
      <c r="O54" s="861">
        <f>O38+O50</f>
        <v>2713719755</v>
      </c>
      <c r="P54" s="631"/>
    </row>
    <row r="55" spans="1:17" ht="12.75" customHeight="1" x14ac:dyDescent="0.25">
      <c r="A55" s="650" t="s">
        <v>14</v>
      </c>
      <c r="B55" s="634" t="s">
        <v>358</v>
      </c>
      <c r="C55" s="635">
        <v>77976000</v>
      </c>
      <c r="D55" s="883">
        <f>+C55</f>
        <v>77976000</v>
      </c>
      <c r="E55" s="857">
        <f>+D55</f>
        <v>77976000</v>
      </c>
      <c r="F55" s="635"/>
      <c r="G55" s="635">
        <v>0</v>
      </c>
      <c r="H55" s="883">
        <v>0</v>
      </c>
      <c r="I55" s="857">
        <v>0</v>
      </c>
      <c r="J55" s="635"/>
      <c r="K55" s="635">
        <v>0</v>
      </c>
      <c r="L55" s="857">
        <v>0</v>
      </c>
      <c r="M55" s="631">
        <f t="shared" si="13"/>
        <v>77976000</v>
      </c>
      <c r="N55" s="884">
        <f t="shared" si="14"/>
        <v>77976000</v>
      </c>
      <c r="O55" s="858">
        <f t="shared" ref="O55:O61" si="22">+E55+I55+L55</f>
        <v>77976000</v>
      </c>
      <c r="P55" s="631"/>
    </row>
    <row r="56" spans="1:17" ht="12.75" customHeight="1" x14ac:dyDescent="0.25">
      <c r="A56" s="650" t="s">
        <v>15</v>
      </c>
      <c r="B56" s="634" t="s">
        <v>359</v>
      </c>
      <c r="C56" s="635">
        <v>350000000</v>
      </c>
      <c r="D56" s="883">
        <f>+C56</f>
        <v>350000000</v>
      </c>
      <c r="E56" s="857">
        <f>+D56</f>
        <v>350000000</v>
      </c>
      <c r="F56" s="635"/>
      <c r="G56" s="635">
        <v>0</v>
      </c>
      <c r="H56" s="883">
        <v>0</v>
      </c>
      <c r="I56" s="857">
        <v>0</v>
      </c>
      <c r="J56" s="635"/>
      <c r="K56" s="635">
        <v>0</v>
      </c>
      <c r="L56" s="857">
        <v>0</v>
      </c>
      <c r="M56" s="631">
        <f t="shared" si="13"/>
        <v>350000000</v>
      </c>
      <c r="N56" s="884">
        <f t="shared" si="14"/>
        <v>350000000</v>
      </c>
      <c r="O56" s="858">
        <f t="shared" si="22"/>
        <v>350000000</v>
      </c>
      <c r="P56" s="631"/>
    </row>
    <row r="57" spans="1:17" ht="12.75" customHeight="1" x14ac:dyDescent="0.25">
      <c r="A57" s="650" t="s">
        <v>16</v>
      </c>
      <c r="B57" s="634" t="s">
        <v>308</v>
      </c>
      <c r="C57" s="635">
        <v>42637000</v>
      </c>
      <c r="D57" s="883">
        <v>42636786</v>
      </c>
      <c r="E57" s="857">
        <f>+D57</f>
        <v>42636786</v>
      </c>
      <c r="F57" s="635"/>
      <c r="G57" s="635">
        <v>0</v>
      </c>
      <c r="H57" s="883">
        <v>0</v>
      </c>
      <c r="I57" s="857">
        <v>0</v>
      </c>
      <c r="J57" s="635"/>
      <c r="K57" s="635">
        <v>0</v>
      </c>
      <c r="L57" s="857">
        <v>0</v>
      </c>
      <c r="M57" s="631">
        <f t="shared" si="13"/>
        <v>42637000</v>
      </c>
      <c r="N57" s="884">
        <f t="shared" si="14"/>
        <v>42636786</v>
      </c>
      <c r="O57" s="858">
        <f t="shared" si="22"/>
        <v>42636786</v>
      </c>
      <c r="P57" s="631"/>
    </row>
    <row r="58" spans="1:17" ht="12.75" customHeight="1" x14ac:dyDescent="0.25">
      <c r="A58" s="650" t="s">
        <v>17</v>
      </c>
      <c r="B58" s="634" t="s">
        <v>104</v>
      </c>
      <c r="C58" s="635">
        <f>+C59+C60</f>
        <v>1165573000</v>
      </c>
      <c r="D58" s="883">
        <f t="shared" ref="D58:L58" si="23">+D59+D60</f>
        <v>1165573000</v>
      </c>
      <c r="E58" s="857">
        <f t="shared" si="23"/>
        <v>1165573000</v>
      </c>
      <c r="F58" s="635">
        <f t="shared" si="23"/>
        <v>0</v>
      </c>
      <c r="G58" s="635">
        <f t="shared" si="23"/>
        <v>0</v>
      </c>
      <c r="H58" s="883">
        <f t="shared" si="23"/>
        <v>0</v>
      </c>
      <c r="I58" s="857">
        <f t="shared" si="23"/>
        <v>0</v>
      </c>
      <c r="J58" s="635">
        <f t="shared" si="23"/>
        <v>0</v>
      </c>
      <c r="K58" s="635">
        <f t="shared" si="23"/>
        <v>0</v>
      </c>
      <c r="L58" s="857">
        <f t="shared" si="23"/>
        <v>0</v>
      </c>
      <c r="M58" s="631">
        <f t="shared" si="13"/>
        <v>1165573000</v>
      </c>
      <c r="N58" s="884">
        <f t="shared" si="14"/>
        <v>1165573000</v>
      </c>
      <c r="O58" s="858">
        <f t="shared" si="22"/>
        <v>1165573000</v>
      </c>
      <c r="P58" s="631"/>
    </row>
    <row r="59" spans="1:17" ht="12.75" customHeight="1" x14ac:dyDescent="0.25">
      <c r="A59" s="650"/>
      <c r="B59" s="634" t="s">
        <v>212</v>
      </c>
      <c r="C59" s="635">
        <v>1165573000</v>
      </c>
      <c r="D59" s="883">
        <f>+C59</f>
        <v>1165573000</v>
      </c>
      <c r="E59" s="857">
        <f>+D59</f>
        <v>1165573000</v>
      </c>
      <c r="F59" s="635"/>
      <c r="G59" s="635">
        <v>0</v>
      </c>
      <c r="H59" s="883">
        <v>0</v>
      </c>
      <c r="I59" s="857">
        <v>0</v>
      </c>
      <c r="J59" s="635"/>
      <c r="K59" s="635">
        <v>0</v>
      </c>
      <c r="L59" s="857">
        <v>0</v>
      </c>
      <c r="M59" s="631">
        <f t="shared" si="13"/>
        <v>1165573000</v>
      </c>
      <c r="N59" s="884">
        <f t="shared" si="14"/>
        <v>1165573000</v>
      </c>
      <c r="O59" s="858">
        <f t="shared" si="22"/>
        <v>1165573000</v>
      </c>
      <c r="P59" s="631"/>
    </row>
    <row r="60" spans="1:17" ht="12.75" customHeight="1" x14ac:dyDescent="0.25">
      <c r="A60" s="652"/>
      <c r="B60" s="634" t="s">
        <v>211</v>
      </c>
      <c r="C60" s="635">
        <v>0</v>
      </c>
      <c r="D60" s="883">
        <f>+C60</f>
        <v>0</v>
      </c>
      <c r="E60" s="857"/>
      <c r="F60" s="635"/>
      <c r="G60" s="635">
        <v>0</v>
      </c>
      <c r="H60" s="883">
        <v>0</v>
      </c>
      <c r="I60" s="857">
        <v>0</v>
      </c>
      <c r="J60" s="653"/>
      <c r="K60" s="653">
        <v>0</v>
      </c>
      <c r="L60" s="904">
        <v>0</v>
      </c>
      <c r="M60" s="631">
        <f t="shared" si="13"/>
        <v>0</v>
      </c>
      <c r="N60" s="884">
        <f t="shared" si="14"/>
        <v>0</v>
      </c>
      <c r="O60" s="858">
        <f t="shared" si="22"/>
        <v>0</v>
      </c>
      <c r="P60" s="631"/>
    </row>
    <row r="61" spans="1:17" ht="12.75" customHeight="1" x14ac:dyDescent="0.25">
      <c r="A61" s="650" t="s">
        <v>18</v>
      </c>
      <c r="B61" s="634" t="s">
        <v>105</v>
      </c>
      <c r="C61" s="635">
        <v>0</v>
      </c>
      <c r="D61" s="883">
        <f>+C61</f>
        <v>0</v>
      </c>
      <c r="E61" s="857"/>
      <c r="F61" s="635"/>
      <c r="G61" s="635">
        <v>0</v>
      </c>
      <c r="H61" s="883">
        <v>0</v>
      </c>
      <c r="I61" s="857">
        <v>0</v>
      </c>
      <c r="J61" s="635"/>
      <c r="K61" s="635">
        <v>0</v>
      </c>
      <c r="L61" s="857">
        <v>0</v>
      </c>
      <c r="M61" s="631">
        <f t="shared" si="13"/>
        <v>0</v>
      </c>
      <c r="N61" s="884">
        <f t="shared" si="14"/>
        <v>0</v>
      </c>
      <c r="O61" s="858">
        <f t="shared" si="22"/>
        <v>0</v>
      </c>
      <c r="P61" s="631"/>
    </row>
    <row r="62" spans="1:17" s="632" customFormat="1" ht="12.75" customHeight="1" x14ac:dyDescent="0.2">
      <c r="A62" s="637" t="s">
        <v>19</v>
      </c>
      <c r="B62" s="638" t="s">
        <v>106</v>
      </c>
      <c r="C62" s="639">
        <f>SUM(C55:C58)+C61</f>
        <v>1636186000</v>
      </c>
      <c r="D62" s="887">
        <f t="shared" ref="D62" si="24">SUM(D55:D58)+D61</f>
        <v>1636185786</v>
      </c>
      <c r="E62" s="861">
        <f>SUM(E55:E58)+E61</f>
        <v>1636185786</v>
      </c>
      <c r="F62" s="639">
        <f t="shared" ref="F62:O62" si="25">SUM(F55:F58)+F61</f>
        <v>0</v>
      </c>
      <c r="G62" s="639">
        <f t="shared" si="25"/>
        <v>0</v>
      </c>
      <c r="H62" s="887">
        <f t="shared" si="25"/>
        <v>0</v>
      </c>
      <c r="I62" s="861">
        <f t="shared" si="25"/>
        <v>0</v>
      </c>
      <c r="J62" s="639">
        <f t="shared" si="25"/>
        <v>0</v>
      </c>
      <c r="K62" s="639">
        <f t="shared" si="25"/>
        <v>0</v>
      </c>
      <c r="L62" s="861">
        <f t="shared" si="25"/>
        <v>0</v>
      </c>
      <c r="M62" s="639">
        <f t="shared" si="25"/>
        <v>1636186000</v>
      </c>
      <c r="N62" s="887">
        <f t="shared" si="25"/>
        <v>1636185786</v>
      </c>
      <c r="O62" s="861">
        <f t="shared" si="25"/>
        <v>1636185786</v>
      </c>
      <c r="P62" s="631"/>
    </row>
    <row r="63" spans="1:17" s="632" customFormat="1" ht="12.75" customHeight="1" x14ac:dyDescent="0.2">
      <c r="A63" s="643" t="s">
        <v>20</v>
      </c>
      <c r="B63" s="644" t="s">
        <v>107</v>
      </c>
      <c r="C63" s="645">
        <f>C54+C62</f>
        <v>4256391000</v>
      </c>
      <c r="D63" s="888">
        <f t="shared" ref="D63:L63" si="26">D54+D62</f>
        <v>4256390786</v>
      </c>
      <c r="E63" s="862">
        <f t="shared" si="26"/>
        <v>4241213541</v>
      </c>
      <c r="F63" s="645">
        <f t="shared" si="26"/>
        <v>0</v>
      </c>
      <c r="G63" s="645">
        <f t="shared" si="26"/>
        <v>104492000</v>
      </c>
      <c r="H63" s="888">
        <f t="shared" si="26"/>
        <v>104492000</v>
      </c>
      <c r="I63" s="862">
        <f t="shared" si="26"/>
        <v>108692000</v>
      </c>
      <c r="J63" s="645">
        <f t="shared" si="26"/>
        <v>0</v>
      </c>
      <c r="K63" s="645">
        <f t="shared" si="26"/>
        <v>0</v>
      </c>
      <c r="L63" s="862">
        <f t="shared" si="26"/>
        <v>0</v>
      </c>
      <c r="M63" s="645">
        <f t="shared" ref="M63:O63" si="27">M54+M62</f>
        <v>4360883000</v>
      </c>
      <c r="N63" s="888">
        <f t="shared" si="27"/>
        <v>4360882786</v>
      </c>
      <c r="O63" s="862">
        <f t="shared" si="27"/>
        <v>4349905541</v>
      </c>
      <c r="P63" s="631"/>
      <c r="Q63" s="845">
        <f>+O63-N63</f>
        <v>-10977245</v>
      </c>
    </row>
    <row r="64" spans="1:17" ht="12.75" customHeight="1" x14ac:dyDescent="0.25">
      <c r="A64" s="650"/>
      <c r="B64" s="654"/>
      <c r="C64" s="635"/>
      <c r="D64" s="883"/>
      <c r="E64" s="857"/>
      <c r="F64" s="635"/>
      <c r="G64" s="635"/>
      <c r="H64" s="883"/>
      <c r="I64" s="857"/>
      <c r="J64" s="635"/>
      <c r="K64" s="635"/>
      <c r="L64" s="857"/>
      <c r="M64" s="655"/>
      <c r="N64" s="901"/>
      <c r="O64" s="877"/>
      <c r="P64" s="655"/>
      <c r="Q64" s="845"/>
    </row>
    <row r="65" spans="1:17" ht="12.75" customHeight="1" x14ac:dyDescent="0.25">
      <c r="A65" s="650"/>
      <c r="B65" s="656"/>
      <c r="C65" s="631"/>
      <c r="D65" s="884"/>
      <c r="E65" s="858"/>
      <c r="F65" s="631"/>
      <c r="G65" s="631"/>
      <c r="H65" s="884"/>
      <c r="I65" s="858"/>
      <c r="J65" s="631"/>
      <c r="K65" s="631"/>
      <c r="L65" s="858"/>
      <c r="M65" s="655"/>
      <c r="N65" s="901"/>
      <c r="O65" s="877"/>
      <c r="P65" s="631"/>
      <c r="Q65" s="845"/>
    </row>
    <row r="66" spans="1:17" ht="12.75" customHeight="1" x14ac:dyDescent="0.25">
      <c r="A66" s="650"/>
      <c r="B66" s="634"/>
      <c r="C66" s="635"/>
      <c r="D66" s="883"/>
      <c r="E66" s="857"/>
      <c r="F66" s="635"/>
      <c r="G66" s="635"/>
      <c r="H66" s="883"/>
      <c r="I66" s="857"/>
      <c r="J66" s="635"/>
      <c r="K66" s="657"/>
      <c r="L66" s="905"/>
      <c r="M66" s="635"/>
      <c r="N66" s="883"/>
      <c r="O66" s="857"/>
      <c r="P66" s="635"/>
    </row>
    <row r="67" spans="1:17" s="624" customFormat="1" ht="11.25" x14ac:dyDescent="0.2">
      <c r="A67" s="843"/>
      <c r="B67" s="844"/>
      <c r="C67" s="845">
        <f t="shared" ref="C67:P67" si="28">+C63-C34</f>
        <v>-104492000</v>
      </c>
      <c r="D67" s="892">
        <f t="shared" si="28"/>
        <v>-104492000</v>
      </c>
      <c r="E67" s="865">
        <f t="shared" si="28"/>
        <v>-108692000</v>
      </c>
      <c r="F67" s="845">
        <f t="shared" si="28"/>
        <v>-700000000</v>
      </c>
      <c r="G67" s="845">
        <f t="shared" si="28"/>
        <v>104492000</v>
      </c>
      <c r="H67" s="892">
        <f t="shared" si="28"/>
        <v>104492000</v>
      </c>
      <c r="I67" s="865">
        <f t="shared" si="28"/>
        <v>108692000</v>
      </c>
      <c r="J67" s="845">
        <f t="shared" si="28"/>
        <v>0</v>
      </c>
      <c r="K67" s="845">
        <f t="shared" si="28"/>
        <v>0</v>
      </c>
      <c r="L67" s="865">
        <f t="shared" si="28"/>
        <v>0</v>
      </c>
      <c r="M67" s="845">
        <f t="shared" si="28"/>
        <v>0</v>
      </c>
      <c r="N67" s="892">
        <f t="shared" si="28"/>
        <v>0</v>
      </c>
      <c r="O67" s="865">
        <f t="shared" si="28"/>
        <v>0</v>
      </c>
      <c r="P67" s="845">
        <f t="shared" si="28"/>
        <v>0</v>
      </c>
    </row>
    <row r="68" spans="1:17" s="624" customFormat="1" ht="11.25" x14ac:dyDescent="0.2">
      <c r="A68" s="843"/>
      <c r="B68" s="844"/>
      <c r="C68" s="845">
        <f>+C67+G67</f>
        <v>0</v>
      </c>
      <c r="D68" s="892">
        <f>+D67+H67</f>
        <v>0</v>
      </c>
      <c r="E68" s="865"/>
      <c r="F68" s="845"/>
      <c r="H68" s="899"/>
      <c r="I68" s="873"/>
      <c r="L68" s="873"/>
      <c r="N68" s="899"/>
      <c r="O68" s="878"/>
    </row>
    <row r="69" spans="1:17" x14ac:dyDescent="0.25">
      <c r="A69" s="658"/>
      <c r="B69" s="660"/>
      <c r="C69" s="661"/>
      <c r="D69" s="893"/>
      <c r="E69" s="866"/>
      <c r="F69" s="661"/>
      <c r="O69" s="875"/>
    </row>
    <row r="70" spans="1:17" ht="30" customHeight="1" x14ac:dyDescent="0.25">
      <c r="A70" s="662"/>
      <c r="B70" s="663"/>
      <c r="C70" s="664"/>
      <c r="D70" s="894"/>
      <c r="E70" s="867"/>
      <c r="F70" s="664"/>
      <c r="G70" s="665"/>
      <c r="H70" s="903"/>
      <c r="I70" s="876"/>
      <c r="J70" s="665"/>
      <c r="K70" s="665"/>
      <c r="L70" s="876"/>
    </row>
    <row r="71" spans="1:17" x14ac:dyDescent="0.25">
      <c r="A71" s="662"/>
      <c r="B71" s="666"/>
      <c r="C71" s="667"/>
      <c r="D71" s="895"/>
      <c r="E71" s="868"/>
      <c r="F71" s="667"/>
      <c r="G71" s="665"/>
      <c r="H71" s="903"/>
      <c r="I71" s="876"/>
      <c r="J71" s="665"/>
      <c r="K71" s="665"/>
      <c r="L71" s="876"/>
    </row>
    <row r="72" spans="1:17" x14ac:dyDescent="0.25">
      <c r="A72" s="662"/>
      <c r="B72" s="663"/>
      <c r="C72" s="668"/>
      <c r="D72" s="896"/>
      <c r="E72" s="869"/>
      <c r="F72" s="668"/>
      <c r="G72" s="665"/>
      <c r="H72" s="903"/>
      <c r="I72" s="876"/>
      <c r="J72" s="665"/>
      <c r="K72" s="665"/>
      <c r="L72" s="876"/>
    </row>
    <row r="73" spans="1:17" x14ac:dyDescent="0.25">
      <c r="A73" s="662"/>
      <c r="B73" s="663"/>
      <c r="C73" s="668"/>
      <c r="D73" s="896"/>
      <c r="E73" s="869"/>
      <c r="F73" s="668"/>
      <c r="G73" s="665"/>
      <c r="H73" s="903"/>
      <c r="I73" s="876"/>
      <c r="J73" s="665"/>
      <c r="K73" s="665"/>
      <c r="L73" s="876"/>
    </row>
    <row r="74" spans="1:17" x14ac:dyDescent="0.25">
      <c r="A74" s="658"/>
      <c r="B74" s="659"/>
      <c r="C74" s="669"/>
      <c r="D74" s="897"/>
      <c r="E74" s="870"/>
      <c r="F74" s="669"/>
    </row>
  </sheetData>
  <mergeCells count="2">
    <mergeCell ref="A2:O2"/>
    <mergeCell ref="L1:O1"/>
  </mergeCells>
  <phoneticPr fontId="3" type="noConversion"/>
  <printOptions horizontalCentered="1"/>
  <pageMargins left="0.15748031496062992" right="0.11811023622047245" top="0.39" bottom="0.42" header="0.21" footer="0.23622047244094491"/>
  <pageSetup paperSize="9" scale="6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L29"/>
  <sheetViews>
    <sheetView view="pageBreakPreview" zoomScale="85" zoomScaleNormal="100" zoomScaleSheetLayoutView="85" workbookViewId="0">
      <selection activeCell="K3" sqref="K3"/>
    </sheetView>
  </sheetViews>
  <sheetFormatPr defaultRowHeight="15" x14ac:dyDescent="0.25"/>
  <cols>
    <col min="1" max="1" width="36.28515625" bestFit="1" customWidth="1"/>
    <col min="2" max="2" width="17" customWidth="1"/>
    <col min="3" max="3" width="18.28515625" bestFit="1" customWidth="1"/>
    <col min="4" max="10" width="15.7109375" bestFit="1" customWidth="1"/>
    <col min="11" max="11" width="15.7109375" customWidth="1"/>
    <col min="12" max="12" width="15.7109375" bestFit="1" customWidth="1"/>
  </cols>
  <sheetData>
    <row r="1" spans="1:12" ht="33" customHeight="1" x14ac:dyDescent="0.25">
      <c r="A1" s="106"/>
      <c r="B1" s="106"/>
      <c r="C1" s="106"/>
      <c r="D1" s="106"/>
      <c r="E1" s="106"/>
      <c r="F1" s="106"/>
      <c r="G1" s="106"/>
      <c r="I1" s="1134" t="s">
        <v>610</v>
      </c>
      <c r="J1" s="1134"/>
      <c r="K1" s="1134"/>
      <c r="L1" s="107"/>
    </row>
    <row r="2" spans="1:12" ht="18" customHeight="1" x14ac:dyDescent="0.25">
      <c r="A2" s="1158" t="s">
        <v>1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</row>
    <row r="3" spans="1:12" x14ac:dyDescent="0.25">
      <c r="A3" s="106"/>
      <c r="B3" s="106"/>
      <c r="C3" s="106"/>
      <c r="D3" s="106"/>
      <c r="E3" s="106"/>
      <c r="F3" s="106"/>
      <c r="G3" s="106"/>
      <c r="H3" s="106"/>
      <c r="I3" s="106"/>
      <c r="K3" s="608" t="s">
        <v>339</v>
      </c>
    </row>
    <row r="4" spans="1:12" ht="24" x14ac:dyDescent="0.25">
      <c r="A4" s="162" t="s">
        <v>30</v>
      </c>
      <c r="B4" s="162" t="s">
        <v>31</v>
      </c>
      <c r="C4" s="163" t="s">
        <v>360</v>
      </c>
      <c r="D4" s="162" t="s">
        <v>277</v>
      </c>
      <c r="E4" s="163" t="s">
        <v>2</v>
      </c>
      <c r="F4" s="163"/>
      <c r="G4" s="162">
        <v>2021</v>
      </c>
      <c r="H4" s="162">
        <v>2022</v>
      </c>
      <c r="I4" s="162">
        <v>2023</v>
      </c>
      <c r="J4" s="162" t="s">
        <v>332</v>
      </c>
      <c r="K4" s="162" t="s">
        <v>186</v>
      </c>
    </row>
    <row r="5" spans="1:12" ht="14.65" customHeight="1" x14ac:dyDescent="0.25">
      <c r="A5" s="1152" t="s">
        <v>11</v>
      </c>
      <c r="B5" s="1145" t="s">
        <v>278</v>
      </c>
      <c r="C5" s="1147">
        <v>600000000</v>
      </c>
      <c r="D5" s="1147">
        <v>507696000</v>
      </c>
      <c r="E5" s="1149">
        <v>48213</v>
      </c>
      <c r="F5" s="235" t="s">
        <v>214</v>
      </c>
      <c r="G5" s="51">
        <f>12*3846000</f>
        <v>46152000</v>
      </c>
      <c r="H5" s="51">
        <f>12*3846000</f>
        <v>46152000</v>
      </c>
      <c r="I5" s="51">
        <f>12*3846000</f>
        <v>46152000</v>
      </c>
      <c r="J5" s="51">
        <v>369240000</v>
      </c>
      <c r="K5" s="164">
        <f>SUM(G5:J5)</f>
        <v>507696000</v>
      </c>
    </row>
    <row r="6" spans="1:12" x14ac:dyDescent="0.25">
      <c r="A6" s="1153"/>
      <c r="B6" s="1146"/>
      <c r="C6" s="1148"/>
      <c r="D6" s="1148"/>
      <c r="E6" s="1150"/>
      <c r="F6" s="234" t="s">
        <v>35</v>
      </c>
      <c r="G6" s="51">
        <v>10879054.633333333</v>
      </c>
      <c r="H6" s="51">
        <v>9846788.2333333325</v>
      </c>
      <c r="I6" s="51">
        <v>8814521.833333334</v>
      </c>
      <c r="J6" s="51">
        <v>33354584.266666666</v>
      </c>
      <c r="K6" s="164">
        <f>SUM(G6:J6)</f>
        <v>62894948.966666669</v>
      </c>
    </row>
    <row r="7" spans="1:12" ht="14.45" customHeight="1" x14ac:dyDescent="0.25">
      <c r="A7" s="1154" t="s">
        <v>12</v>
      </c>
      <c r="B7" s="1145" t="s">
        <v>520</v>
      </c>
      <c r="C7" s="1155" t="s">
        <v>189</v>
      </c>
      <c r="D7" s="1157">
        <v>350000000</v>
      </c>
      <c r="E7" s="1151">
        <v>48213</v>
      </c>
      <c r="F7" s="235" t="s">
        <v>214</v>
      </c>
      <c r="G7" s="51">
        <v>31824000</v>
      </c>
      <c r="H7" s="51">
        <v>31824000</v>
      </c>
      <c r="I7" s="51">
        <v>31824000</v>
      </c>
      <c r="J7" s="51">
        <v>254528000</v>
      </c>
      <c r="K7" s="164">
        <f>SUM(G7:J7)</f>
        <v>350000000</v>
      </c>
    </row>
    <row r="8" spans="1:12" x14ac:dyDescent="0.25">
      <c r="A8" s="1154"/>
      <c r="B8" s="1146"/>
      <c r="C8" s="1156"/>
      <c r="D8" s="1157"/>
      <c r="E8" s="1151"/>
      <c r="F8" s="234" t="s">
        <v>35</v>
      </c>
      <c r="G8" s="51">
        <v>6749841.7799999993</v>
      </c>
      <c r="H8" s="51">
        <v>6109224.6599999992</v>
      </c>
      <c r="I8" s="51">
        <v>5468607.5399999991</v>
      </c>
      <c r="J8" s="51">
        <v>20686643.999999996</v>
      </c>
      <c r="K8" s="164">
        <f>SUM(G8:J8)</f>
        <v>39014317.979999989</v>
      </c>
    </row>
    <row r="9" spans="1:12" x14ac:dyDescent="0.25">
      <c r="A9" s="236"/>
      <c r="B9" s="84"/>
      <c r="C9" s="84"/>
      <c r="D9" s="84"/>
      <c r="E9" s="236"/>
      <c r="F9" s="236"/>
      <c r="G9" s="51"/>
      <c r="H9" s="51"/>
      <c r="I9" s="51"/>
      <c r="J9" s="51"/>
      <c r="K9" s="164"/>
    </row>
    <row r="10" spans="1:12" x14ac:dyDescent="0.25">
      <c r="A10" s="236"/>
      <c r="B10" s="84"/>
      <c r="C10" s="84"/>
      <c r="D10" s="84"/>
      <c r="E10" s="236"/>
      <c r="F10" s="236"/>
      <c r="G10" s="51"/>
      <c r="H10" s="51"/>
      <c r="I10" s="51"/>
      <c r="J10" s="51"/>
      <c r="K10" s="164"/>
    </row>
    <row r="11" spans="1:12" x14ac:dyDescent="0.25">
      <c r="A11" s="236"/>
      <c r="B11" s="165" t="s">
        <v>0</v>
      </c>
      <c r="C11" s="165"/>
      <c r="D11" s="165"/>
      <c r="E11" s="82" t="s">
        <v>189</v>
      </c>
      <c r="F11" s="82"/>
      <c r="G11" s="166">
        <f>SUM(G5:G8)</f>
        <v>95604896.413333327</v>
      </c>
      <c r="H11" s="166">
        <f>SUM(H5:H8)</f>
        <v>93932012.893333331</v>
      </c>
      <c r="I11" s="166">
        <f>SUM(I5:I8)</f>
        <v>92259129.373333335</v>
      </c>
      <c r="J11" s="166">
        <f>SUM(J5:J8)</f>
        <v>677809228.26666665</v>
      </c>
      <c r="K11" s="186">
        <f>SUM(G11:J11)</f>
        <v>959605266.94666672</v>
      </c>
    </row>
    <row r="12" spans="1:12" x14ac:dyDescent="0.25">
      <c r="A12" s="46"/>
      <c r="B12" s="237"/>
      <c r="C12" s="237"/>
      <c r="D12" s="238"/>
      <c r="E12" s="238"/>
      <c r="F12" s="239"/>
      <c r="G12" s="239"/>
      <c r="H12" s="239"/>
      <c r="I12" s="239"/>
      <c r="J12" s="239"/>
      <c r="K12" s="239"/>
      <c r="L12" s="240"/>
    </row>
    <row r="13" spans="1:12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ht="14.65" customHeight="1" x14ac:dyDescent="0.25">
      <c r="A14" s="1143" t="s">
        <v>222</v>
      </c>
      <c r="B14" s="1143" t="s">
        <v>223</v>
      </c>
      <c r="C14" s="1143" t="s">
        <v>224</v>
      </c>
      <c r="D14" s="1144"/>
      <c r="E14" s="1144"/>
      <c r="F14" s="173"/>
      <c r="G14" s="173"/>
      <c r="H14" s="173"/>
      <c r="I14" s="173"/>
      <c r="J14" s="173"/>
      <c r="K14" s="173"/>
      <c r="L14" s="233"/>
    </row>
    <row r="15" spans="1:12" x14ac:dyDescent="0.25">
      <c r="A15" s="1143"/>
      <c r="B15" s="1143"/>
      <c r="C15" s="1144"/>
      <c r="D15" s="1144"/>
      <c r="E15" s="1144"/>
      <c r="F15" s="173"/>
      <c r="G15" s="173"/>
      <c r="H15" s="173"/>
      <c r="I15" s="173"/>
      <c r="J15" s="173"/>
      <c r="K15" s="173"/>
      <c r="L15" s="173"/>
    </row>
    <row r="16" spans="1:12" ht="33.75" x14ac:dyDescent="0.25">
      <c r="A16" s="1143"/>
      <c r="B16" s="1143"/>
      <c r="C16" s="174" t="s">
        <v>593</v>
      </c>
      <c r="D16" s="175" t="s">
        <v>594</v>
      </c>
      <c r="E16" s="174" t="s">
        <v>595</v>
      </c>
      <c r="F16" s="174" t="s">
        <v>596</v>
      </c>
      <c r="G16" s="175" t="s">
        <v>597</v>
      </c>
      <c r="H16" s="174" t="s">
        <v>598</v>
      </c>
      <c r="I16" s="174" t="s">
        <v>599</v>
      </c>
      <c r="J16" s="174" t="s">
        <v>331</v>
      </c>
      <c r="K16" s="233" t="s">
        <v>225</v>
      </c>
    </row>
    <row r="17" spans="1:11" x14ac:dyDescent="0.25">
      <c r="A17" s="176" t="s">
        <v>226</v>
      </c>
      <c r="B17" s="177" t="s">
        <v>227</v>
      </c>
      <c r="C17" s="178">
        <v>1057000000</v>
      </c>
      <c r="D17" s="178">
        <v>1057000000</v>
      </c>
      <c r="E17" s="178">
        <v>1057000000</v>
      </c>
      <c r="F17" s="178">
        <v>1057000000</v>
      </c>
      <c r="G17" s="178">
        <v>1057000000</v>
      </c>
      <c r="H17" s="178">
        <v>1057000000</v>
      </c>
      <c r="I17" s="178">
        <v>1057000000</v>
      </c>
      <c r="J17" s="178">
        <f>4*I17</f>
        <v>4228000000</v>
      </c>
      <c r="K17" s="179">
        <f>SUM(C17:J17)</f>
        <v>11627000000</v>
      </c>
    </row>
    <row r="18" spans="1:11" x14ac:dyDescent="0.25">
      <c r="A18" s="176" t="s">
        <v>279</v>
      </c>
      <c r="B18" s="177" t="s">
        <v>229</v>
      </c>
      <c r="C18" s="178"/>
      <c r="D18" s="178"/>
      <c r="E18" s="178"/>
      <c r="F18" s="178"/>
      <c r="G18" s="178"/>
      <c r="H18" s="178"/>
      <c r="I18" s="178"/>
      <c r="J18" s="178"/>
      <c r="K18" s="179">
        <f>SUM(C18:J18)</f>
        <v>0</v>
      </c>
    </row>
    <row r="19" spans="1:11" ht="27" x14ac:dyDescent="0.25">
      <c r="A19" s="180" t="s">
        <v>228</v>
      </c>
      <c r="B19" s="177" t="s">
        <v>231</v>
      </c>
      <c r="C19" s="178">
        <v>760000000</v>
      </c>
      <c r="D19" s="178">
        <v>15000000</v>
      </c>
      <c r="E19" s="178">
        <v>15000000</v>
      </c>
      <c r="F19" s="178">
        <v>15000000</v>
      </c>
      <c r="G19" s="178">
        <v>15000000</v>
      </c>
      <c r="H19" s="178">
        <v>15000000</v>
      </c>
      <c r="I19" s="178">
        <v>15000000</v>
      </c>
      <c r="J19" s="178">
        <f>4*I19</f>
        <v>60000000</v>
      </c>
      <c r="K19" s="179">
        <f>SUM(C19:J19)</f>
        <v>910000000</v>
      </c>
    </row>
    <row r="20" spans="1:11" x14ac:dyDescent="0.25">
      <c r="A20" s="181" t="s">
        <v>230</v>
      </c>
      <c r="B20" s="177" t="s">
        <v>233</v>
      </c>
      <c r="C20" s="178"/>
      <c r="D20" s="173"/>
      <c r="E20" s="173"/>
      <c r="F20" s="173"/>
      <c r="G20" s="173"/>
      <c r="H20" s="173"/>
      <c r="I20" s="173"/>
      <c r="J20" s="173"/>
      <c r="K20" s="179">
        <f>SUM(C20:H20)</f>
        <v>0</v>
      </c>
    </row>
    <row r="21" spans="1:11" ht="18" x14ac:dyDescent="0.25">
      <c r="A21" s="181" t="s">
        <v>232</v>
      </c>
      <c r="B21" s="177" t="s">
        <v>235</v>
      </c>
      <c r="C21" s="178"/>
      <c r="D21" s="173"/>
      <c r="E21" s="173"/>
      <c r="F21" s="173"/>
      <c r="G21" s="173"/>
      <c r="H21" s="173"/>
      <c r="I21" s="173"/>
      <c r="J21" s="173"/>
      <c r="K21" s="179">
        <f>SUM(C21:H21)</f>
        <v>0</v>
      </c>
    </row>
    <row r="22" spans="1:11" x14ac:dyDescent="0.25">
      <c r="A22" s="181" t="s">
        <v>234</v>
      </c>
      <c r="B22" s="177" t="s">
        <v>237</v>
      </c>
      <c r="C22" s="178">
        <v>8000000</v>
      </c>
      <c r="D22" s="178">
        <v>3200000</v>
      </c>
      <c r="E22" s="178">
        <v>3200000</v>
      </c>
      <c r="F22" s="178">
        <v>3200000</v>
      </c>
      <c r="G22" s="178">
        <v>3200000</v>
      </c>
      <c r="H22" s="178">
        <v>3200000</v>
      </c>
      <c r="I22" s="178">
        <v>3200000</v>
      </c>
      <c r="J22" s="178">
        <f>4*I22</f>
        <v>12800000</v>
      </c>
      <c r="K22" s="179">
        <f>SUM(C22:J22)</f>
        <v>40000000</v>
      </c>
    </row>
    <row r="23" spans="1:11" x14ac:dyDescent="0.25">
      <c r="A23" s="181" t="s">
        <v>236</v>
      </c>
      <c r="B23" s="177" t="s">
        <v>239</v>
      </c>
      <c r="C23" s="178"/>
      <c r="D23" s="173"/>
      <c r="E23" s="173"/>
      <c r="F23" s="173"/>
      <c r="G23" s="173"/>
      <c r="H23" s="173"/>
      <c r="I23" s="173"/>
      <c r="J23" s="173"/>
      <c r="K23" s="179">
        <f>SUM(C23:H23)</f>
        <v>0</v>
      </c>
    </row>
    <row r="24" spans="1:11" x14ac:dyDescent="0.25">
      <c r="A24" s="182" t="s">
        <v>238</v>
      </c>
      <c r="B24" s="183" t="s">
        <v>241</v>
      </c>
      <c r="C24" s="334">
        <f t="shared" ref="C24:J24" si="0">SUM(C17:C23)</f>
        <v>1825000000</v>
      </c>
      <c r="D24" s="334">
        <f t="shared" si="0"/>
        <v>1075200000</v>
      </c>
      <c r="E24" s="334">
        <f t="shared" si="0"/>
        <v>1075200000</v>
      </c>
      <c r="F24" s="334">
        <f t="shared" si="0"/>
        <v>1075200000</v>
      </c>
      <c r="G24" s="334">
        <f t="shared" si="0"/>
        <v>1075200000</v>
      </c>
      <c r="H24" s="334">
        <f t="shared" si="0"/>
        <v>1075200000</v>
      </c>
      <c r="I24" s="334">
        <f t="shared" si="0"/>
        <v>1075200000</v>
      </c>
      <c r="J24" s="334">
        <f t="shared" si="0"/>
        <v>4300800000</v>
      </c>
      <c r="K24" s="335">
        <f t="shared" ref="K24:K29" si="1">SUM(C24:J24)</f>
        <v>12577000000</v>
      </c>
    </row>
    <row r="25" spans="1:11" x14ac:dyDescent="0.25">
      <c r="A25" s="182" t="s">
        <v>240</v>
      </c>
      <c r="B25" s="183" t="s">
        <v>242</v>
      </c>
      <c r="C25" s="334">
        <f t="shared" ref="C25:J25" si="2">C24*0.5</f>
        <v>912500000</v>
      </c>
      <c r="D25" s="334">
        <f t="shared" si="2"/>
        <v>537600000</v>
      </c>
      <c r="E25" s="334">
        <f t="shared" si="2"/>
        <v>537600000</v>
      </c>
      <c r="F25" s="334">
        <f t="shared" si="2"/>
        <v>537600000</v>
      </c>
      <c r="G25" s="334">
        <f t="shared" si="2"/>
        <v>537600000</v>
      </c>
      <c r="H25" s="334">
        <f t="shared" si="2"/>
        <v>537600000</v>
      </c>
      <c r="I25" s="334">
        <f t="shared" si="2"/>
        <v>537600000</v>
      </c>
      <c r="J25" s="334">
        <f t="shared" si="2"/>
        <v>2150400000</v>
      </c>
      <c r="K25" s="335">
        <f t="shared" si="1"/>
        <v>6288500000</v>
      </c>
    </row>
    <row r="26" spans="1:11" x14ac:dyDescent="0.25">
      <c r="A26" s="184" t="s">
        <v>243</v>
      </c>
      <c r="B26" s="177" t="s">
        <v>221</v>
      </c>
      <c r="C26" s="87">
        <f t="shared" ref="C26:E27" si="3">+G5+G7</f>
        <v>77976000</v>
      </c>
      <c r="D26" s="87">
        <f t="shared" si="3"/>
        <v>77976000</v>
      </c>
      <c r="E26" s="87">
        <f t="shared" si="3"/>
        <v>77976000</v>
      </c>
      <c r="F26" s="87">
        <v>77976000</v>
      </c>
      <c r="G26" s="87">
        <v>77976000</v>
      </c>
      <c r="H26" s="87">
        <v>77976000</v>
      </c>
      <c r="I26" s="87">
        <v>77976000</v>
      </c>
      <c r="J26" s="87">
        <v>311864000</v>
      </c>
      <c r="K26" s="179">
        <f t="shared" si="1"/>
        <v>857696000</v>
      </c>
    </row>
    <row r="27" spans="1:11" x14ac:dyDescent="0.25">
      <c r="A27" s="184" t="s">
        <v>244</v>
      </c>
      <c r="B27" s="177" t="s">
        <v>245</v>
      </c>
      <c r="C27" s="51">
        <f t="shared" si="3"/>
        <v>17628896.413333334</v>
      </c>
      <c r="D27" s="51">
        <f t="shared" si="3"/>
        <v>15956012.893333331</v>
      </c>
      <c r="E27" s="51">
        <f t="shared" si="3"/>
        <v>14283129.373333333</v>
      </c>
      <c r="F27" s="51">
        <v>12610245.853333332</v>
      </c>
      <c r="G27" s="51">
        <v>10937362.333333334</v>
      </c>
      <c r="H27" s="51">
        <v>9264478.8133333325</v>
      </c>
      <c r="I27" s="51">
        <v>7591595.293333333</v>
      </c>
      <c r="J27" s="218">
        <v>13637546</v>
      </c>
      <c r="K27" s="179">
        <f t="shared" si="1"/>
        <v>101909266.97333333</v>
      </c>
    </row>
    <row r="28" spans="1:11" x14ac:dyDescent="0.25">
      <c r="A28" s="182" t="s">
        <v>246</v>
      </c>
      <c r="B28" s="175">
        <v>12</v>
      </c>
      <c r="C28" s="331">
        <f t="shared" ref="C28:J28" si="4">SUM(C26:C27)</f>
        <v>95604896.413333327</v>
      </c>
      <c r="D28" s="331">
        <f t="shared" si="4"/>
        <v>93932012.893333331</v>
      </c>
      <c r="E28" s="331">
        <f t="shared" si="4"/>
        <v>92259129.373333335</v>
      </c>
      <c r="F28" s="331">
        <f t="shared" si="4"/>
        <v>90586245.853333324</v>
      </c>
      <c r="G28" s="331">
        <f t="shared" si="4"/>
        <v>88913362.333333328</v>
      </c>
      <c r="H28" s="331">
        <f t="shared" si="4"/>
        <v>87240478.813333333</v>
      </c>
      <c r="I28" s="332">
        <f t="shared" si="4"/>
        <v>85567595.293333337</v>
      </c>
      <c r="J28" s="332">
        <f t="shared" si="4"/>
        <v>325501546</v>
      </c>
      <c r="K28" s="333">
        <f t="shared" si="1"/>
        <v>959605266.97333324</v>
      </c>
    </row>
    <row r="29" spans="1:11" ht="22.5" x14ac:dyDescent="0.25">
      <c r="A29" s="182" t="s">
        <v>247</v>
      </c>
      <c r="B29" s="175">
        <v>13</v>
      </c>
      <c r="C29" s="185">
        <f t="shared" ref="C29:J29" si="5">+C25-C28</f>
        <v>816895103.5866667</v>
      </c>
      <c r="D29" s="185">
        <f t="shared" si="5"/>
        <v>443667987.10666668</v>
      </c>
      <c r="E29" s="185">
        <f t="shared" si="5"/>
        <v>445340870.62666667</v>
      </c>
      <c r="F29" s="185">
        <f t="shared" si="5"/>
        <v>447013754.14666665</v>
      </c>
      <c r="G29" s="185">
        <f t="shared" si="5"/>
        <v>448686637.66666669</v>
      </c>
      <c r="H29" s="185">
        <f t="shared" si="5"/>
        <v>450359521.18666667</v>
      </c>
      <c r="I29" s="185">
        <f t="shared" si="5"/>
        <v>452032404.70666665</v>
      </c>
      <c r="J29" s="185">
        <f t="shared" si="5"/>
        <v>1824898454</v>
      </c>
      <c r="K29" s="179">
        <f t="shared" si="1"/>
        <v>5328894733.0266666</v>
      </c>
    </row>
  </sheetData>
  <mergeCells count="15">
    <mergeCell ref="A2:L2"/>
    <mergeCell ref="I1:K1"/>
    <mergeCell ref="A14:A16"/>
    <mergeCell ref="B14:B16"/>
    <mergeCell ref="C14:E15"/>
    <mergeCell ref="B5:B6"/>
    <mergeCell ref="C5:C6"/>
    <mergeCell ref="E5:E6"/>
    <mergeCell ref="E7:E8"/>
    <mergeCell ref="A5:A6"/>
    <mergeCell ref="D5:D6"/>
    <mergeCell ref="A7:A8"/>
    <mergeCell ref="B7:B8"/>
    <mergeCell ref="C7:C8"/>
    <mergeCell ref="D7:D8"/>
  </mergeCells>
  <printOptions horizontalCentered="1"/>
  <pageMargins left="0.3" right="0.19685039370078741" top="0.74803149606299213" bottom="0.74803149606299213" header="0.31496062992125984" footer="0.31496062992125984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45"/>
  <sheetViews>
    <sheetView view="pageBreakPreview" topLeftCell="A13" zoomScaleNormal="100" zoomScaleSheetLayoutView="100" workbookViewId="0">
      <selection activeCell="B38" sqref="B38"/>
    </sheetView>
  </sheetViews>
  <sheetFormatPr defaultColWidth="9.28515625" defaultRowHeight="11.25" x14ac:dyDescent="0.2"/>
  <cols>
    <col min="1" max="1" width="5.28515625" style="621" customWidth="1"/>
    <col min="2" max="2" width="33.85546875" style="1002" customWidth="1"/>
    <col min="3" max="3" width="10.85546875" style="1060" bestFit="1" customWidth="1"/>
    <col min="4" max="5" width="10.140625" style="344" bestFit="1" customWidth="1"/>
    <col min="6" max="15" width="11.42578125" style="344" customWidth="1"/>
    <col min="16" max="16" width="10.85546875" style="344" bestFit="1" customWidth="1"/>
    <col min="17" max="17" width="8.5703125" style="344" customWidth="1"/>
    <col min="18" max="16384" width="9.28515625" style="344"/>
  </cols>
  <sheetData>
    <row r="1" spans="1:17" s="382" customFormat="1" ht="30" customHeight="1" x14ac:dyDescent="0.25">
      <c r="A1" s="1064"/>
      <c r="B1" s="619"/>
      <c r="C1" s="1065"/>
      <c r="G1" s="384"/>
      <c r="H1" s="384"/>
      <c r="I1" s="384"/>
      <c r="N1" s="1160" t="s">
        <v>611</v>
      </c>
      <c r="O1" s="1160"/>
      <c r="P1" s="1160"/>
    </row>
    <row r="2" spans="1:17" s="382" customFormat="1" ht="28.5" customHeight="1" x14ac:dyDescent="0.25">
      <c r="A2" s="1161" t="s">
        <v>689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</row>
    <row r="3" spans="1:17" s="382" customFormat="1" x14ac:dyDescent="0.25">
      <c r="A3" s="361"/>
      <c r="B3" s="459" t="s">
        <v>37</v>
      </c>
      <c r="C3" s="1066"/>
      <c r="D3" s="381"/>
      <c r="E3" s="381"/>
      <c r="F3" s="381"/>
      <c r="G3" s="381"/>
      <c r="H3" s="381"/>
      <c r="I3" s="385"/>
      <c r="O3" s="1159" t="s">
        <v>339</v>
      </c>
      <c r="P3" s="1159"/>
    </row>
    <row r="4" spans="1:17" s="382" customFormat="1" ht="21" x14ac:dyDescent="0.25">
      <c r="A4" s="625" t="s">
        <v>223</v>
      </c>
      <c r="B4" s="625" t="s">
        <v>31</v>
      </c>
      <c r="C4" s="1061"/>
      <c r="D4" s="340" t="s">
        <v>169</v>
      </c>
      <c r="E4" s="683" t="s">
        <v>170</v>
      </c>
      <c r="F4" s="683" t="s">
        <v>171</v>
      </c>
      <c r="G4" s="683" t="s">
        <v>172</v>
      </c>
      <c r="H4" s="683" t="s">
        <v>173</v>
      </c>
      <c r="I4" s="1062" t="s">
        <v>275</v>
      </c>
      <c r="J4" s="1063" t="s">
        <v>174</v>
      </c>
      <c r="K4" s="1063" t="s">
        <v>175</v>
      </c>
      <c r="L4" s="1063" t="s">
        <v>176</v>
      </c>
      <c r="M4" s="1063" t="s">
        <v>177</v>
      </c>
      <c r="N4" s="1063" t="s">
        <v>178</v>
      </c>
      <c r="O4" s="1063" t="s">
        <v>179</v>
      </c>
      <c r="P4" s="1063" t="s">
        <v>41</v>
      </c>
    </row>
    <row r="5" spans="1:17" s="382" customFormat="1" ht="21" x14ac:dyDescent="0.25">
      <c r="A5" s="1067" t="s">
        <v>11</v>
      </c>
      <c r="B5" s="1068" t="s">
        <v>69</v>
      </c>
      <c r="C5" s="1069">
        <f>'2020. 1.bevkiadfőössz. '!O5</f>
        <v>1128920000</v>
      </c>
      <c r="D5" s="389">
        <f>+$C$5/12</f>
        <v>94076666.666666672</v>
      </c>
      <c r="E5" s="389">
        <f t="shared" ref="E5:O5" si="0">+$C$5/12</f>
        <v>94076666.666666672</v>
      </c>
      <c r="F5" s="389">
        <f t="shared" si="0"/>
        <v>94076666.666666672</v>
      </c>
      <c r="G5" s="389">
        <f t="shared" si="0"/>
        <v>94076666.666666672</v>
      </c>
      <c r="H5" s="389">
        <f t="shared" si="0"/>
        <v>94076666.666666672</v>
      </c>
      <c r="I5" s="389">
        <f t="shared" si="0"/>
        <v>94076666.666666672</v>
      </c>
      <c r="J5" s="389">
        <f t="shared" si="0"/>
        <v>94076666.666666672</v>
      </c>
      <c r="K5" s="389">
        <f t="shared" si="0"/>
        <v>94076666.666666672</v>
      </c>
      <c r="L5" s="389">
        <f t="shared" si="0"/>
        <v>94076666.666666672</v>
      </c>
      <c r="M5" s="389">
        <f t="shared" si="0"/>
        <v>94076666.666666672</v>
      </c>
      <c r="N5" s="389">
        <f t="shared" si="0"/>
        <v>94076666.666666672</v>
      </c>
      <c r="O5" s="389">
        <f t="shared" si="0"/>
        <v>94076666.666666672</v>
      </c>
      <c r="P5" s="423">
        <f>SUM(D5:O5)</f>
        <v>1128919999.9999998</v>
      </c>
      <c r="Q5" s="1070"/>
    </row>
    <row r="6" spans="1:17" s="382" customFormat="1" ht="21" x14ac:dyDescent="0.25">
      <c r="A6" s="1067" t="s">
        <v>12</v>
      </c>
      <c r="B6" s="1068" t="s">
        <v>156</v>
      </c>
      <c r="C6" s="1069">
        <f>'2020. 1.bevkiadfőössz. '!O6</f>
        <v>239517000</v>
      </c>
      <c r="D6" s="389">
        <f>+$C$6/12</f>
        <v>19959750</v>
      </c>
      <c r="E6" s="389">
        <f t="shared" ref="E6:O6" si="1">+$C$6/12</f>
        <v>19959750</v>
      </c>
      <c r="F6" s="389">
        <f t="shared" si="1"/>
        <v>19959750</v>
      </c>
      <c r="G6" s="389">
        <f t="shared" si="1"/>
        <v>19959750</v>
      </c>
      <c r="H6" s="389">
        <f t="shared" si="1"/>
        <v>19959750</v>
      </c>
      <c r="I6" s="389">
        <f t="shared" si="1"/>
        <v>19959750</v>
      </c>
      <c r="J6" s="389">
        <f t="shared" si="1"/>
        <v>19959750</v>
      </c>
      <c r="K6" s="389">
        <f t="shared" si="1"/>
        <v>19959750</v>
      </c>
      <c r="L6" s="389">
        <f t="shared" si="1"/>
        <v>19959750</v>
      </c>
      <c r="M6" s="389">
        <f t="shared" si="1"/>
        <v>19959750</v>
      </c>
      <c r="N6" s="389">
        <f t="shared" si="1"/>
        <v>19959750</v>
      </c>
      <c r="O6" s="389">
        <f t="shared" si="1"/>
        <v>19959750</v>
      </c>
      <c r="P6" s="423">
        <f t="shared" ref="P6:P37" si="2">SUM(D6:O6)</f>
        <v>239517000</v>
      </c>
    </row>
    <row r="7" spans="1:17" s="382" customFormat="1" ht="22.5" x14ac:dyDescent="0.25">
      <c r="A7" s="1071" t="s">
        <v>49</v>
      </c>
      <c r="B7" s="1072" t="s">
        <v>70</v>
      </c>
      <c r="C7" s="1069">
        <f>'2020. 1.bevkiadfőössz. '!O7</f>
        <v>4469000</v>
      </c>
      <c r="D7" s="389">
        <f>+$C$7/12</f>
        <v>372416.66666666669</v>
      </c>
      <c r="E7" s="389">
        <f t="shared" ref="E7:O7" si="3">+$C$7/12</f>
        <v>372416.66666666669</v>
      </c>
      <c r="F7" s="389">
        <f t="shared" si="3"/>
        <v>372416.66666666669</v>
      </c>
      <c r="G7" s="389">
        <f t="shared" si="3"/>
        <v>372416.66666666669</v>
      </c>
      <c r="H7" s="389">
        <f t="shared" si="3"/>
        <v>372416.66666666669</v>
      </c>
      <c r="I7" s="389">
        <f t="shared" si="3"/>
        <v>372416.66666666669</v>
      </c>
      <c r="J7" s="389">
        <f t="shared" si="3"/>
        <v>372416.66666666669</v>
      </c>
      <c r="K7" s="389">
        <f t="shared" si="3"/>
        <v>372416.66666666669</v>
      </c>
      <c r="L7" s="389">
        <f t="shared" si="3"/>
        <v>372416.66666666669</v>
      </c>
      <c r="M7" s="389">
        <f t="shared" si="3"/>
        <v>372416.66666666669</v>
      </c>
      <c r="N7" s="389">
        <f t="shared" si="3"/>
        <v>372416.66666666669</v>
      </c>
      <c r="O7" s="389">
        <f t="shared" si="3"/>
        <v>372416.66666666669</v>
      </c>
      <c r="P7" s="423">
        <f t="shared" si="2"/>
        <v>4468999.9999999991</v>
      </c>
    </row>
    <row r="8" spans="1:17" s="382" customFormat="1" x14ac:dyDescent="0.25">
      <c r="A8" s="1071" t="s">
        <v>71</v>
      </c>
      <c r="B8" s="1072" t="s">
        <v>363</v>
      </c>
      <c r="C8" s="1069">
        <f>'2020. 1.bevkiadfőössz. '!O8</f>
        <v>4469000</v>
      </c>
      <c r="D8" s="389">
        <f>+$C$8/12</f>
        <v>372416.66666666669</v>
      </c>
      <c r="E8" s="389">
        <f t="shared" ref="E8:O8" si="4">+$C$8/12</f>
        <v>372416.66666666669</v>
      </c>
      <c r="F8" s="389">
        <f t="shared" si="4"/>
        <v>372416.66666666669</v>
      </c>
      <c r="G8" s="389">
        <f t="shared" si="4"/>
        <v>372416.66666666669</v>
      </c>
      <c r="H8" s="389">
        <f t="shared" si="4"/>
        <v>372416.66666666669</v>
      </c>
      <c r="I8" s="389">
        <f t="shared" si="4"/>
        <v>372416.66666666669</v>
      </c>
      <c r="J8" s="389">
        <f t="shared" si="4"/>
        <v>372416.66666666669</v>
      </c>
      <c r="K8" s="389">
        <f t="shared" si="4"/>
        <v>372416.66666666669</v>
      </c>
      <c r="L8" s="389">
        <f t="shared" si="4"/>
        <v>372416.66666666669</v>
      </c>
      <c r="M8" s="389">
        <f t="shared" si="4"/>
        <v>372416.66666666669</v>
      </c>
      <c r="N8" s="389">
        <f t="shared" si="4"/>
        <v>372416.66666666669</v>
      </c>
      <c r="O8" s="389">
        <f t="shared" si="4"/>
        <v>372416.66666666669</v>
      </c>
      <c r="P8" s="423">
        <f t="shared" si="2"/>
        <v>4468999.9999999991</v>
      </c>
    </row>
    <row r="9" spans="1:17" s="382" customFormat="1" x14ac:dyDescent="0.25">
      <c r="A9" s="1071" t="s">
        <v>72</v>
      </c>
      <c r="B9" s="1072" t="s">
        <v>74</v>
      </c>
      <c r="C9" s="1069">
        <f>'2020. 1.bevkiadfőössz. '!O9</f>
        <v>0</v>
      </c>
      <c r="D9" s="389">
        <f>+$C$9/12</f>
        <v>0</v>
      </c>
      <c r="E9" s="389">
        <f t="shared" ref="E9:O9" si="5">+$C$9/12</f>
        <v>0</v>
      </c>
      <c r="F9" s="389">
        <f t="shared" si="5"/>
        <v>0</v>
      </c>
      <c r="G9" s="389">
        <f t="shared" si="5"/>
        <v>0</v>
      </c>
      <c r="H9" s="389">
        <f t="shared" si="5"/>
        <v>0</v>
      </c>
      <c r="I9" s="389">
        <f t="shared" si="5"/>
        <v>0</v>
      </c>
      <c r="J9" s="389">
        <f t="shared" si="5"/>
        <v>0</v>
      </c>
      <c r="K9" s="389">
        <f t="shared" si="5"/>
        <v>0</v>
      </c>
      <c r="L9" s="389">
        <f t="shared" si="5"/>
        <v>0</v>
      </c>
      <c r="M9" s="389">
        <f t="shared" si="5"/>
        <v>0</v>
      </c>
      <c r="N9" s="389">
        <f t="shared" si="5"/>
        <v>0</v>
      </c>
      <c r="O9" s="389">
        <f t="shared" si="5"/>
        <v>0</v>
      </c>
      <c r="P9" s="423">
        <f t="shared" si="2"/>
        <v>0</v>
      </c>
    </row>
    <row r="10" spans="1:17" s="382" customFormat="1" ht="22.5" x14ac:dyDescent="0.25">
      <c r="A10" s="1071" t="s">
        <v>73</v>
      </c>
      <c r="B10" s="1072" t="s">
        <v>284</v>
      </c>
      <c r="C10" s="1069">
        <f>'2020. 1.bevkiadfőössz. '!O10</f>
        <v>0</v>
      </c>
      <c r="D10" s="389">
        <f>+$C$10/12</f>
        <v>0</v>
      </c>
      <c r="E10" s="389">
        <f t="shared" ref="E10:O10" si="6">+$C$10/12</f>
        <v>0</v>
      </c>
      <c r="F10" s="389">
        <f t="shared" si="6"/>
        <v>0</v>
      </c>
      <c r="G10" s="389">
        <f t="shared" si="6"/>
        <v>0</v>
      </c>
      <c r="H10" s="389">
        <f t="shared" si="6"/>
        <v>0</v>
      </c>
      <c r="I10" s="389">
        <f t="shared" si="6"/>
        <v>0</v>
      </c>
      <c r="J10" s="389">
        <f t="shared" si="6"/>
        <v>0</v>
      </c>
      <c r="K10" s="389">
        <f t="shared" si="6"/>
        <v>0</v>
      </c>
      <c r="L10" s="389">
        <f t="shared" si="6"/>
        <v>0</v>
      </c>
      <c r="M10" s="389">
        <f t="shared" si="6"/>
        <v>0</v>
      </c>
      <c r="N10" s="389">
        <f t="shared" si="6"/>
        <v>0</v>
      </c>
      <c r="O10" s="389">
        <f t="shared" si="6"/>
        <v>0</v>
      </c>
      <c r="P10" s="423">
        <f t="shared" si="2"/>
        <v>0</v>
      </c>
    </row>
    <row r="11" spans="1:17" s="382" customFormat="1" ht="21" x14ac:dyDescent="0.25">
      <c r="A11" s="1067" t="s">
        <v>13</v>
      </c>
      <c r="B11" s="1073" t="s">
        <v>138</v>
      </c>
      <c r="C11" s="1069">
        <f>'2020. 1.bevkiadfőössz. '!O11</f>
        <v>266257000</v>
      </c>
      <c r="D11" s="389">
        <f>+$C$11/12</f>
        <v>22188083.333333332</v>
      </c>
      <c r="E11" s="389">
        <f t="shared" ref="E11:O11" si="7">+$C$11/12</f>
        <v>22188083.333333332</v>
      </c>
      <c r="F11" s="389">
        <f t="shared" si="7"/>
        <v>22188083.333333332</v>
      </c>
      <c r="G11" s="389">
        <f t="shared" si="7"/>
        <v>22188083.333333332</v>
      </c>
      <c r="H11" s="389">
        <f t="shared" si="7"/>
        <v>22188083.333333332</v>
      </c>
      <c r="I11" s="389">
        <f t="shared" si="7"/>
        <v>22188083.333333332</v>
      </c>
      <c r="J11" s="389">
        <f t="shared" si="7"/>
        <v>22188083.333333332</v>
      </c>
      <c r="K11" s="389">
        <f t="shared" si="7"/>
        <v>22188083.333333332</v>
      </c>
      <c r="L11" s="389">
        <f t="shared" si="7"/>
        <v>22188083.333333332</v>
      </c>
      <c r="M11" s="389">
        <f t="shared" si="7"/>
        <v>22188083.333333332</v>
      </c>
      <c r="N11" s="389">
        <f t="shared" si="7"/>
        <v>22188083.333333332</v>
      </c>
      <c r="O11" s="389">
        <f t="shared" si="7"/>
        <v>22188083.333333332</v>
      </c>
      <c r="P11" s="423">
        <f t="shared" si="2"/>
        <v>266257000.00000003</v>
      </c>
    </row>
    <row r="12" spans="1:17" s="382" customFormat="1" x14ac:dyDescent="0.25">
      <c r="A12" s="1067" t="s">
        <v>14</v>
      </c>
      <c r="B12" s="1073" t="s">
        <v>75</v>
      </c>
      <c r="C12" s="1069">
        <f>'2020. 1.bevkiadfőössz. '!O12</f>
        <v>1065000000</v>
      </c>
      <c r="D12" s="389">
        <f>+$C$12/12</f>
        <v>88750000</v>
      </c>
      <c r="E12" s="389">
        <f t="shared" ref="E12:O12" si="8">+$C$12/12</f>
        <v>88750000</v>
      </c>
      <c r="F12" s="389">
        <f t="shared" si="8"/>
        <v>88750000</v>
      </c>
      <c r="G12" s="389">
        <f t="shared" si="8"/>
        <v>88750000</v>
      </c>
      <c r="H12" s="389">
        <f t="shared" si="8"/>
        <v>88750000</v>
      </c>
      <c r="I12" s="389">
        <f t="shared" si="8"/>
        <v>88750000</v>
      </c>
      <c r="J12" s="389">
        <f t="shared" si="8"/>
        <v>88750000</v>
      </c>
      <c r="K12" s="389">
        <f t="shared" si="8"/>
        <v>88750000</v>
      </c>
      <c r="L12" s="389">
        <f t="shared" si="8"/>
        <v>88750000</v>
      </c>
      <c r="M12" s="389">
        <f t="shared" si="8"/>
        <v>88750000</v>
      </c>
      <c r="N12" s="389">
        <f t="shared" si="8"/>
        <v>88750000</v>
      </c>
      <c r="O12" s="389">
        <f t="shared" si="8"/>
        <v>88750000</v>
      </c>
      <c r="P12" s="423">
        <f t="shared" si="2"/>
        <v>1065000000</v>
      </c>
    </row>
    <row r="13" spans="1:17" s="382" customFormat="1" x14ac:dyDescent="0.25">
      <c r="A13" s="1071" t="s">
        <v>430</v>
      </c>
      <c r="B13" s="1072" t="s">
        <v>418</v>
      </c>
      <c r="C13" s="1069">
        <f>'2020. 1.bevkiadfőössz. '!O13</f>
        <v>305000000</v>
      </c>
      <c r="D13" s="389">
        <f>+$C$13/12</f>
        <v>25416666.666666668</v>
      </c>
      <c r="E13" s="389">
        <f t="shared" ref="E13:O13" si="9">+$C$13/12</f>
        <v>25416666.666666668</v>
      </c>
      <c r="F13" s="389">
        <f t="shared" si="9"/>
        <v>25416666.666666668</v>
      </c>
      <c r="G13" s="389">
        <f t="shared" si="9"/>
        <v>25416666.666666668</v>
      </c>
      <c r="H13" s="389">
        <f t="shared" si="9"/>
        <v>25416666.666666668</v>
      </c>
      <c r="I13" s="389">
        <f t="shared" si="9"/>
        <v>25416666.666666668</v>
      </c>
      <c r="J13" s="389">
        <f t="shared" si="9"/>
        <v>25416666.666666668</v>
      </c>
      <c r="K13" s="389">
        <f t="shared" si="9"/>
        <v>25416666.666666668</v>
      </c>
      <c r="L13" s="389">
        <f t="shared" si="9"/>
        <v>25416666.666666668</v>
      </c>
      <c r="M13" s="389">
        <f t="shared" si="9"/>
        <v>25416666.666666668</v>
      </c>
      <c r="N13" s="389">
        <f t="shared" si="9"/>
        <v>25416666.666666668</v>
      </c>
      <c r="O13" s="389">
        <f t="shared" si="9"/>
        <v>25416666.666666668</v>
      </c>
      <c r="P13" s="423">
        <f t="shared" si="2"/>
        <v>305000000</v>
      </c>
    </row>
    <row r="14" spans="1:17" s="382" customFormat="1" x14ac:dyDescent="0.25">
      <c r="A14" s="1071" t="s">
        <v>431</v>
      </c>
      <c r="B14" s="1072" t="s">
        <v>419</v>
      </c>
      <c r="C14" s="1069">
        <f>'2020. 1.bevkiadfőössz. '!O14</f>
        <v>90000000</v>
      </c>
      <c r="D14" s="389">
        <f>+$C$14/12</f>
        <v>7500000</v>
      </c>
      <c r="E14" s="389">
        <f t="shared" ref="E14:O14" si="10">+$C$14/12</f>
        <v>7500000</v>
      </c>
      <c r="F14" s="389">
        <f t="shared" si="10"/>
        <v>7500000</v>
      </c>
      <c r="G14" s="389">
        <f t="shared" si="10"/>
        <v>7500000</v>
      </c>
      <c r="H14" s="389">
        <f t="shared" si="10"/>
        <v>7500000</v>
      </c>
      <c r="I14" s="389">
        <f t="shared" si="10"/>
        <v>7500000</v>
      </c>
      <c r="J14" s="389">
        <f t="shared" si="10"/>
        <v>7500000</v>
      </c>
      <c r="K14" s="389">
        <f t="shared" si="10"/>
        <v>7500000</v>
      </c>
      <c r="L14" s="389">
        <f t="shared" si="10"/>
        <v>7500000</v>
      </c>
      <c r="M14" s="389">
        <f t="shared" si="10"/>
        <v>7500000</v>
      </c>
      <c r="N14" s="389">
        <f t="shared" si="10"/>
        <v>7500000</v>
      </c>
      <c r="O14" s="389">
        <f t="shared" si="10"/>
        <v>7500000</v>
      </c>
      <c r="P14" s="423">
        <f t="shared" si="2"/>
        <v>90000000</v>
      </c>
    </row>
    <row r="15" spans="1:17" s="382" customFormat="1" x14ac:dyDescent="0.25">
      <c r="A15" s="1071" t="s">
        <v>432</v>
      </c>
      <c r="B15" s="1072" t="s">
        <v>417</v>
      </c>
      <c r="C15" s="1069">
        <f>'2020. 1.bevkiadfőössz. '!O15</f>
        <v>662000000</v>
      </c>
      <c r="D15" s="389">
        <f>+$C$15/12</f>
        <v>55166666.666666664</v>
      </c>
      <c r="E15" s="389">
        <f t="shared" ref="E15:O15" si="11">+$C$15/12</f>
        <v>55166666.666666664</v>
      </c>
      <c r="F15" s="389">
        <f t="shared" si="11"/>
        <v>55166666.666666664</v>
      </c>
      <c r="G15" s="389">
        <f t="shared" si="11"/>
        <v>55166666.666666664</v>
      </c>
      <c r="H15" s="389">
        <f t="shared" si="11"/>
        <v>55166666.666666664</v>
      </c>
      <c r="I15" s="389">
        <f t="shared" si="11"/>
        <v>55166666.666666664</v>
      </c>
      <c r="J15" s="389">
        <f t="shared" si="11"/>
        <v>55166666.666666664</v>
      </c>
      <c r="K15" s="389">
        <f t="shared" si="11"/>
        <v>55166666.666666664</v>
      </c>
      <c r="L15" s="389">
        <f t="shared" si="11"/>
        <v>55166666.666666664</v>
      </c>
      <c r="M15" s="389">
        <f t="shared" si="11"/>
        <v>55166666.666666664</v>
      </c>
      <c r="N15" s="389">
        <f t="shared" si="11"/>
        <v>55166666.666666664</v>
      </c>
      <c r="O15" s="389">
        <f t="shared" si="11"/>
        <v>55166666.666666664</v>
      </c>
      <c r="P15" s="423">
        <f t="shared" si="2"/>
        <v>662000000</v>
      </c>
    </row>
    <row r="16" spans="1:17" s="382" customFormat="1" x14ac:dyDescent="0.25">
      <c r="A16" s="1071" t="s">
        <v>433</v>
      </c>
      <c r="B16" s="1072" t="s">
        <v>427</v>
      </c>
      <c r="C16" s="1069">
        <f>'2020. 1.bevkiadfőössz. '!O16</f>
        <v>0</v>
      </c>
      <c r="D16" s="389">
        <f>+$C$16/12</f>
        <v>0</v>
      </c>
      <c r="E16" s="389">
        <f t="shared" ref="E16:O16" si="12">+$C$16/12</f>
        <v>0</v>
      </c>
      <c r="F16" s="389">
        <f t="shared" si="12"/>
        <v>0</v>
      </c>
      <c r="G16" s="389">
        <f t="shared" si="12"/>
        <v>0</v>
      </c>
      <c r="H16" s="389">
        <f t="shared" si="12"/>
        <v>0</v>
      </c>
      <c r="I16" s="389">
        <f t="shared" si="12"/>
        <v>0</v>
      </c>
      <c r="J16" s="389">
        <f t="shared" si="12"/>
        <v>0</v>
      </c>
      <c r="K16" s="389">
        <f t="shared" si="12"/>
        <v>0</v>
      </c>
      <c r="L16" s="389">
        <f t="shared" si="12"/>
        <v>0</v>
      </c>
      <c r="M16" s="389">
        <f t="shared" si="12"/>
        <v>0</v>
      </c>
      <c r="N16" s="389">
        <f t="shared" si="12"/>
        <v>0</v>
      </c>
      <c r="O16" s="389">
        <f t="shared" si="12"/>
        <v>0</v>
      </c>
      <c r="P16" s="423">
        <f t="shared" si="2"/>
        <v>0</v>
      </c>
    </row>
    <row r="17" spans="1:17" s="382" customFormat="1" x14ac:dyDescent="0.25">
      <c r="A17" s="1071" t="s">
        <v>434</v>
      </c>
      <c r="B17" s="1072" t="s">
        <v>426</v>
      </c>
      <c r="C17" s="1069">
        <f>'2020. 1.bevkiadfőössz. '!O17</f>
        <v>0</v>
      </c>
      <c r="D17" s="389">
        <f>+$C$17/12</f>
        <v>0</v>
      </c>
      <c r="E17" s="389">
        <f t="shared" ref="E17:O17" si="13">+$C$17/12</f>
        <v>0</v>
      </c>
      <c r="F17" s="389">
        <f t="shared" si="13"/>
        <v>0</v>
      </c>
      <c r="G17" s="389">
        <f t="shared" si="13"/>
        <v>0</v>
      </c>
      <c r="H17" s="389">
        <f t="shared" si="13"/>
        <v>0</v>
      </c>
      <c r="I17" s="389">
        <f t="shared" si="13"/>
        <v>0</v>
      </c>
      <c r="J17" s="389">
        <f t="shared" si="13"/>
        <v>0</v>
      </c>
      <c r="K17" s="389">
        <f t="shared" si="13"/>
        <v>0</v>
      </c>
      <c r="L17" s="389">
        <f t="shared" si="13"/>
        <v>0</v>
      </c>
      <c r="M17" s="389">
        <f t="shared" si="13"/>
        <v>0</v>
      </c>
      <c r="N17" s="389">
        <f t="shared" si="13"/>
        <v>0</v>
      </c>
      <c r="O17" s="389">
        <f t="shared" si="13"/>
        <v>0</v>
      </c>
      <c r="P17" s="423">
        <f t="shared" si="2"/>
        <v>0</v>
      </c>
    </row>
    <row r="18" spans="1:17" s="382" customFormat="1" x14ac:dyDescent="0.25">
      <c r="A18" s="1071" t="s">
        <v>435</v>
      </c>
      <c r="B18" s="1072" t="s">
        <v>428</v>
      </c>
      <c r="C18" s="1069">
        <f>'2020. 1.bevkiadfőössz. '!O18</f>
        <v>8000000</v>
      </c>
      <c r="D18" s="389">
        <f>+$C$18/12</f>
        <v>666666.66666666663</v>
      </c>
      <c r="E18" s="389">
        <f t="shared" ref="E18:O18" si="14">+$C$18/12</f>
        <v>666666.66666666663</v>
      </c>
      <c r="F18" s="389">
        <f t="shared" si="14"/>
        <v>666666.66666666663</v>
      </c>
      <c r="G18" s="389">
        <f t="shared" si="14"/>
        <v>666666.66666666663</v>
      </c>
      <c r="H18" s="389">
        <f t="shared" si="14"/>
        <v>666666.66666666663</v>
      </c>
      <c r="I18" s="389">
        <f t="shared" si="14"/>
        <v>666666.66666666663</v>
      </c>
      <c r="J18" s="389">
        <f t="shared" si="14"/>
        <v>666666.66666666663</v>
      </c>
      <c r="K18" s="389">
        <f t="shared" si="14"/>
        <v>666666.66666666663</v>
      </c>
      <c r="L18" s="389">
        <f t="shared" si="14"/>
        <v>666666.66666666663</v>
      </c>
      <c r="M18" s="389">
        <f t="shared" si="14"/>
        <v>666666.66666666663</v>
      </c>
      <c r="N18" s="389">
        <f t="shared" si="14"/>
        <v>666666.66666666663</v>
      </c>
      <c r="O18" s="389">
        <f t="shared" si="14"/>
        <v>666666.66666666663</v>
      </c>
      <c r="P18" s="423">
        <f t="shared" si="2"/>
        <v>8000000.0000000009</v>
      </c>
    </row>
    <row r="19" spans="1:17" s="382" customFormat="1" x14ac:dyDescent="0.25">
      <c r="A19" s="1067" t="s">
        <v>15</v>
      </c>
      <c r="B19" s="1073" t="s">
        <v>76</v>
      </c>
      <c r="C19" s="1069">
        <f>'2020. 1.bevkiadfőössz. '!O19</f>
        <v>220325000</v>
      </c>
      <c r="D19" s="389">
        <f>+$C$19/12</f>
        <v>18360416.666666668</v>
      </c>
      <c r="E19" s="389">
        <f t="shared" ref="E19:O19" si="15">+$C$19/12</f>
        <v>18360416.666666668</v>
      </c>
      <c r="F19" s="389">
        <f t="shared" si="15"/>
        <v>18360416.666666668</v>
      </c>
      <c r="G19" s="389">
        <f t="shared" si="15"/>
        <v>18360416.666666668</v>
      </c>
      <c r="H19" s="389">
        <f t="shared" si="15"/>
        <v>18360416.666666668</v>
      </c>
      <c r="I19" s="389">
        <f t="shared" si="15"/>
        <v>18360416.666666668</v>
      </c>
      <c r="J19" s="389">
        <f t="shared" si="15"/>
        <v>18360416.666666668</v>
      </c>
      <c r="K19" s="389">
        <f t="shared" si="15"/>
        <v>18360416.666666668</v>
      </c>
      <c r="L19" s="389">
        <f t="shared" si="15"/>
        <v>18360416.666666668</v>
      </c>
      <c r="M19" s="389">
        <f t="shared" si="15"/>
        <v>18360416.666666668</v>
      </c>
      <c r="N19" s="389">
        <f t="shared" si="15"/>
        <v>18360416.666666668</v>
      </c>
      <c r="O19" s="389">
        <f t="shared" si="15"/>
        <v>18360416.666666668</v>
      </c>
      <c r="P19" s="423">
        <f t="shared" si="2"/>
        <v>220324999.99999997</v>
      </c>
      <c r="Q19" s="1074"/>
    </row>
    <row r="20" spans="1:17" s="382" customFormat="1" x14ac:dyDescent="0.25">
      <c r="A20" s="1067" t="s">
        <v>16</v>
      </c>
      <c r="B20" s="1073" t="s">
        <v>77</v>
      </c>
      <c r="C20" s="1069">
        <f>'2020. 1.bevkiadfőössz. '!O20</f>
        <v>760000000</v>
      </c>
      <c r="D20" s="389">
        <f>+$C$20/12</f>
        <v>63333333.333333336</v>
      </c>
      <c r="E20" s="389">
        <f t="shared" ref="E20:O20" si="16">+$C$20/12</f>
        <v>63333333.333333336</v>
      </c>
      <c r="F20" s="389">
        <f t="shared" si="16"/>
        <v>63333333.333333336</v>
      </c>
      <c r="G20" s="389">
        <f t="shared" si="16"/>
        <v>63333333.333333336</v>
      </c>
      <c r="H20" s="389">
        <f t="shared" si="16"/>
        <v>63333333.333333336</v>
      </c>
      <c r="I20" s="389">
        <f t="shared" si="16"/>
        <v>63333333.333333336</v>
      </c>
      <c r="J20" s="389">
        <f t="shared" si="16"/>
        <v>63333333.333333336</v>
      </c>
      <c r="K20" s="389">
        <f t="shared" si="16"/>
        <v>63333333.333333336</v>
      </c>
      <c r="L20" s="389">
        <f t="shared" si="16"/>
        <v>63333333.333333336</v>
      </c>
      <c r="M20" s="389">
        <f t="shared" si="16"/>
        <v>63333333.333333336</v>
      </c>
      <c r="N20" s="389">
        <f t="shared" si="16"/>
        <v>63333333.333333336</v>
      </c>
      <c r="O20" s="389">
        <f t="shared" si="16"/>
        <v>63333333.333333336</v>
      </c>
      <c r="P20" s="423">
        <f t="shared" si="2"/>
        <v>760000000.00000012</v>
      </c>
    </row>
    <row r="21" spans="1:17" s="382" customFormat="1" x14ac:dyDescent="0.25">
      <c r="A21" s="1067" t="s">
        <v>17</v>
      </c>
      <c r="B21" s="1073" t="s">
        <v>78</v>
      </c>
      <c r="C21" s="1069">
        <f>'2020. 1.bevkiadfőössz. '!O21</f>
        <v>0</v>
      </c>
      <c r="D21" s="389">
        <f>+$C$21/12</f>
        <v>0</v>
      </c>
      <c r="E21" s="389">
        <f t="shared" ref="E21:O21" si="17">+$C$21/12</f>
        <v>0</v>
      </c>
      <c r="F21" s="389">
        <f t="shared" si="17"/>
        <v>0</v>
      </c>
      <c r="G21" s="389">
        <f t="shared" si="17"/>
        <v>0</v>
      </c>
      <c r="H21" s="389">
        <f t="shared" si="17"/>
        <v>0</v>
      </c>
      <c r="I21" s="389">
        <f t="shared" si="17"/>
        <v>0</v>
      </c>
      <c r="J21" s="389">
        <f t="shared" si="17"/>
        <v>0</v>
      </c>
      <c r="K21" s="389">
        <f t="shared" si="17"/>
        <v>0</v>
      </c>
      <c r="L21" s="389">
        <f t="shared" si="17"/>
        <v>0</v>
      </c>
      <c r="M21" s="389">
        <f t="shared" si="17"/>
        <v>0</v>
      </c>
      <c r="N21" s="389">
        <f t="shared" si="17"/>
        <v>0</v>
      </c>
      <c r="O21" s="389">
        <f t="shared" si="17"/>
        <v>0</v>
      </c>
      <c r="P21" s="423">
        <f t="shared" si="2"/>
        <v>0</v>
      </c>
    </row>
    <row r="22" spans="1:17" s="382" customFormat="1" x14ac:dyDescent="0.25">
      <c r="A22" s="1067" t="s">
        <v>18</v>
      </c>
      <c r="B22" s="1073" t="s">
        <v>79</v>
      </c>
      <c r="C22" s="1069">
        <f>'2020. 1.bevkiadfőössz. '!O22</f>
        <v>0</v>
      </c>
      <c r="D22" s="389">
        <f>+$C$22/12</f>
        <v>0</v>
      </c>
      <c r="E22" s="389">
        <f t="shared" ref="E22:O22" si="18">+$C$22/12</f>
        <v>0</v>
      </c>
      <c r="F22" s="389">
        <f t="shared" si="18"/>
        <v>0</v>
      </c>
      <c r="G22" s="389">
        <f t="shared" si="18"/>
        <v>0</v>
      </c>
      <c r="H22" s="389">
        <f t="shared" si="18"/>
        <v>0</v>
      </c>
      <c r="I22" s="389">
        <f t="shared" si="18"/>
        <v>0</v>
      </c>
      <c r="J22" s="389">
        <f t="shared" si="18"/>
        <v>0</v>
      </c>
      <c r="K22" s="389">
        <f t="shared" si="18"/>
        <v>0</v>
      </c>
      <c r="L22" s="389">
        <f t="shared" si="18"/>
        <v>0</v>
      </c>
      <c r="M22" s="389">
        <f t="shared" si="18"/>
        <v>0</v>
      </c>
      <c r="N22" s="389">
        <f t="shared" si="18"/>
        <v>0</v>
      </c>
      <c r="O22" s="389">
        <f t="shared" si="18"/>
        <v>0</v>
      </c>
      <c r="P22" s="423">
        <f t="shared" si="2"/>
        <v>0</v>
      </c>
    </row>
    <row r="23" spans="1:17" s="382" customFormat="1" x14ac:dyDescent="0.25">
      <c r="A23" s="849" t="s">
        <v>19</v>
      </c>
      <c r="B23" s="850" t="s">
        <v>80</v>
      </c>
      <c r="C23" s="1069">
        <f>'2020. 1.bevkiadfőössz. '!O23</f>
        <v>3680019000</v>
      </c>
      <c r="D23" s="389">
        <f>+$C$23/12</f>
        <v>306668250</v>
      </c>
      <c r="E23" s="389">
        <f t="shared" ref="E23:O23" si="19">+$C$23/12</f>
        <v>306668250</v>
      </c>
      <c r="F23" s="389">
        <f t="shared" si="19"/>
        <v>306668250</v>
      </c>
      <c r="G23" s="389">
        <f t="shared" si="19"/>
        <v>306668250</v>
      </c>
      <c r="H23" s="389">
        <f t="shared" si="19"/>
        <v>306668250</v>
      </c>
      <c r="I23" s="389">
        <f t="shared" si="19"/>
        <v>306668250</v>
      </c>
      <c r="J23" s="389">
        <f t="shared" si="19"/>
        <v>306668250</v>
      </c>
      <c r="K23" s="389">
        <f t="shared" si="19"/>
        <v>306668250</v>
      </c>
      <c r="L23" s="389">
        <f t="shared" si="19"/>
        <v>306668250</v>
      </c>
      <c r="M23" s="389">
        <f t="shared" si="19"/>
        <v>306668250</v>
      </c>
      <c r="N23" s="389">
        <f t="shared" si="19"/>
        <v>306668250</v>
      </c>
      <c r="O23" s="389">
        <f t="shared" si="19"/>
        <v>306668250</v>
      </c>
      <c r="P23" s="423">
        <f t="shared" si="2"/>
        <v>3680019000</v>
      </c>
    </row>
    <row r="24" spans="1:17" s="382" customFormat="1" ht="22.5" x14ac:dyDescent="0.25">
      <c r="A24" s="1071" t="s">
        <v>20</v>
      </c>
      <c r="B24" s="1072" t="s">
        <v>356</v>
      </c>
      <c r="C24" s="1069">
        <f>'2020. 1.bevkiadfőössz. '!O24</f>
        <v>350000000</v>
      </c>
      <c r="D24" s="389">
        <f>+$C$24/12</f>
        <v>29166666.666666668</v>
      </c>
      <c r="E24" s="389">
        <f t="shared" ref="E24:O24" si="20">+$C$24/12</f>
        <v>29166666.666666668</v>
      </c>
      <c r="F24" s="389">
        <f t="shared" si="20"/>
        <v>29166666.666666668</v>
      </c>
      <c r="G24" s="389">
        <f t="shared" si="20"/>
        <v>29166666.666666668</v>
      </c>
      <c r="H24" s="389">
        <f t="shared" si="20"/>
        <v>29166666.666666668</v>
      </c>
      <c r="I24" s="389">
        <f t="shared" si="20"/>
        <v>29166666.666666668</v>
      </c>
      <c r="J24" s="389">
        <f t="shared" si="20"/>
        <v>29166666.666666668</v>
      </c>
      <c r="K24" s="389">
        <f t="shared" si="20"/>
        <v>29166666.666666668</v>
      </c>
      <c r="L24" s="389">
        <f t="shared" si="20"/>
        <v>29166666.666666668</v>
      </c>
      <c r="M24" s="389">
        <f t="shared" si="20"/>
        <v>29166666.666666668</v>
      </c>
      <c r="N24" s="389">
        <f t="shared" si="20"/>
        <v>29166666.666666668</v>
      </c>
      <c r="O24" s="389">
        <f t="shared" si="20"/>
        <v>29166666.666666668</v>
      </c>
      <c r="P24" s="423">
        <f t="shared" si="2"/>
        <v>350000000</v>
      </c>
    </row>
    <row r="25" spans="1:17" s="382" customFormat="1" ht="22.5" x14ac:dyDescent="0.25">
      <c r="A25" s="1071" t="s">
        <v>21</v>
      </c>
      <c r="B25" s="1072" t="s">
        <v>357</v>
      </c>
      <c r="C25" s="1069">
        <f>'2020. 1.bevkiadfőössz. '!O25</f>
        <v>350000000</v>
      </c>
      <c r="D25" s="389">
        <f>+$C$25/12</f>
        <v>29166666.666666668</v>
      </c>
      <c r="E25" s="389">
        <f t="shared" ref="E25:O25" si="21">+$C$25/12</f>
        <v>29166666.666666668</v>
      </c>
      <c r="F25" s="389">
        <f t="shared" si="21"/>
        <v>29166666.666666668</v>
      </c>
      <c r="G25" s="389">
        <f t="shared" si="21"/>
        <v>29166666.666666668</v>
      </c>
      <c r="H25" s="389">
        <f t="shared" si="21"/>
        <v>29166666.666666668</v>
      </c>
      <c r="I25" s="389">
        <f t="shared" si="21"/>
        <v>29166666.666666668</v>
      </c>
      <c r="J25" s="389">
        <f t="shared" si="21"/>
        <v>29166666.666666668</v>
      </c>
      <c r="K25" s="389">
        <f t="shared" si="21"/>
        <v>29166666.666666668</v>
      </c>
      <c r="L25" s="389">
        <f t="shared" si="21"/>
        <v>29166666.666666668</v>
      </c>
      <c r="M25" s="389">
        <f t="shared" si="21"/>
        <v>29166666.666666668</v>
      </c>
      <c r="N25" s="389">
        <f t="shared" si="21"/>
        <v>29166666.666666668</v>
      </c>
      <c r="O25" s="389">
        <f t="shared" si="21"/>
        <v>29166666.666666668</v>
      </c>
      <c r="P25" s="423">
        <f t="shared" si="2"/>
        <v>350000000</v>
      </c>
    </row>
    <row r="26" spans="1:17" s="382" customFormat="1" x14ac:dyDescent="0.25">
      <c r="A26" s="1071"/>
      <c r="B26" s="1072" t="s">
        <v>82</v>
      </c>
      <c r="C26" s="1069">
        <f>'2020. 1.bevkiadfőössz. '!O26</f>
        <v>0</v>
      </c>
      <c r="D26" s="389">
        <f>+$C$26/12</f>
        <v>0</v>
      </c>
      <c r="E26" s="389">
        <f t="shared" ref="E26:O26" si="22">+$C$26/12</f>
        <v>0</v>
      </c>
      <c r="F26" s="389">
        <f t="shared" si="22"/>
        <v>0</v>
      </c>
      <c r="G26" s="389">
        <f t="shared" si="22"/>
        <v>0</v>
      </c>
      <c r="H26" s="389">
        <f t="shared" si="22"/>
        <v>0</v>
      </c>
      <c r="I26" s="389">
        <f t="shared" si="22"/>
        <v>0</v>
      </c>
      <c r="J26" s="389">
        <f t="shared" si="22"/>
        <v>0</v>
      </c>
      <c r="K26" s="389">
        <f t="shared" si="22"/>
        <v>0</v>
      </c>
      <c r="L26" s="389">
        <f t="shared" si="22"/>
        <v>0</v>
      </c>
      <c r="M26" s="389">
        <f t="shared" si="22"/>
        <v>0</v>
      </c>
      <c r="N26" s="389">
        <f t="shared" si="22"/>
        <v>0</v>
      </c>
      <c r="O26" s="389">
        <f t="shared" si="22"/>
        <v>0</v>
      </c>
      <c r="P26" s="423">
        <f t="shared" si="2"/>
        <v>0</v>
      </c>
      <c r="Q26" s="1074"/>
    </row>
    <row r="27" spans="1:17" s="382" customFormat="1" x14ac:dyDescent="0.25">
      <c r="A27" s="1067" t="s">
        <v>22</v>
      </c>
      <c r="B27" s="1073" t="s">
        <v>152</v>
      </c>
      <c r="C27" s="1069">
        <f>'2020. 1.bevkiadfőössz. '!O27</f>
        <v>218742043</v>
      </c>
      <c r="D27" s="389">
        <f>+$C$27/12</f>
        <v>18228503.583333332</v>
      </c>
      <c r="E27" s="389">
        <f t="shared" ref="E27:O27" si="23">+$C$27/12</f>
        <v>18228503.583333332</v>
      </c>
      <c r="F27" s="389">
        <f t="shared" si="23"/>
        <v>18228503.583333332</v>
      </c>
      <c r="G27" s="389">
        <f t="shared" si="23"/>
        <v>18228503.583333332</v>
      </c>
      <c r="H27" s="389">
        <f t="shared" si="23"/>
        <v>18228503.583333332</v>
      </c>
      <c r="I27" s="389">
        <f t="shared" si="23"/>
        <v>18228503.583333332</v>
      </c>
      <c r="J27" s="389">
        <f t="shared" si="23"/>
        <v>18228503.583333332</v>
      </c>
      <c r="K27" s="389">
        <f t="shared" si="23"/>
        <v>18228503.583333332</v>
      </c>
      <c r="L27" s="389">
        <f t="shared" si="23"/>
        <v>18228503.583333332</v>
      </c>
      <c r="M27" s="389">
        <f t="shared" si="23"/>
        <v>18228503.583333332</v>
      </c>
      <c r="N27" s="389">
        <f t="shared" si="23"/>
        <v>18228503.583333332</v>
      </c>
      <c r="O27" s="389">
        <f t="shared" si="23"/>
        <v>18228503.583333332</v>
      </c>
      <c r="P27" s="423">
        <f t="shared" si="2"/>
        <v>218742043.00000003</v>
      </c>
    </row>
    <row r="28" spans="1:17" s="382" customFormat="1" x14ac:dyDescent="0.25">
      <c r="A28" s="1071" t="s">
        <v>23</v>
      </c>
      <c r="B28" s="1072" t="s">
        <v>83</v>
      </c>
      <c r="C28" s="1069">
        <f>'2020. 1.bevkiadfőössz. '!O28</f>
        <v>1165573000</v>
      </c>
      <c r="D28" s="389">
        <f>+$C$28/12</f>
        <v>97131083.333333328</v>
      </c>
      <c r="E28" s="389">
        <f t="shared" ref="E28:O28" si="24">+$C$28/12</f>
        <v>97131083.333333328</v>
      </c>
      <c r="F28" s="389">
        <f t="shared" si="24"/>
        <v>97131083.333333328</v>
      </c>
      <c r="G28" s="389">
        <f t="shared" si="24"/>
        <v>97131083.333333328</v>
      </c>
      <c r="H28" s="389">
        <f t="shared" si="24"/>
        <v>97131083.333333328</v>
      </c>
      <c r="I28" s="389">
        <f t="shared" si="24"/>
        <v>97131083.333333328</v>
      </c>
      <c r="J28" s="389">
        <f t="shared" si="24"/>
        <v>97131083.333333328</v>
      </c>
      <c r="K28" s="389">
        <f t="shared" si="24"/>
        <v>97131083.333333328</v>
      </c>
      <c r="L28" s="389">
        <f t="shared" si="24"/>
        <v>97131083.333333328</v>
      </c>
      <c r="M28" s="389">
        <f t="shared" si="24"/>
        <v>97131083.333333328</v>
      </c>
      <c r="N28" s="389">
        <f t="shared" si="24"/>
        <v>97131083.333333328</v>
      </c>
      <c r="O28" s="389">
        <f t="shared" si="24"/>
        <v>97131083.333333328</v>
      </c>
      <c r="P28" s="423">
        <f t="shared" si="2"/>
        <v>1165573000.0000002</v>
      </c>
    </row>
    <row r="29" spans="1:17" s="382" customFormat="1" x14ac:dyDescent="0.25">
      <c r="A29" s="1071" t="s">
        <v>114</v>
      </c>
      <c r="B29" s="1072" t="s">
        <v>84</v>
      </c>
      <c r="C29" s="1069">
        <f>'2020. 1.bevkiadfőössz. '!O29</f>
        <v>1165573000</v>
      </c>
      <c r="D29" s="389">
        <f>+$C$29/12</f>
        <v>97131083.333333328</v>
      </c>
      <c r="E29" s="389">
        <f t="shared" ref="E29:O29" si="25">+$C$29/12</f>
        <v>97131083.333333328</v>
      </c>
      <c r="F29" s="389">
        <f t="shared" si="25"/>
        <v>97131083.333333328</v>
      </c>
      <c r="G29" s="389">
        <f t="shared" si="25"/>
        <v>97131083.333333328</v>
      </c>
      <c r="H29" s="389">
        <f t="shared" si="25"/>
        <v>97131083.333333328</v>
      </c>
      <c r="I29" s="389">
        <f t="shared" si="25"/>
        <v>97131083.333333328</v>
      </c>
      <c r="J29" s="389">
        <f t="shared" si="25"/>
        <v>97131083.333333328</v>
      </c>
      <c r="K29" s="389">
        <f t="shared" si="25"/>
        <v>97131083.333333328</v>
      </c>
      <c r="L29" s="389">
        <f t="shared" si="25"/>
        <v>97131083.333333328</v>
      </c>
      <c r="M29" s="389">
        <f t="shared" si="25"/>
        <v>97131083.333333328</v>
      </c>
      <c r="N29" s="389">
        <f t="shared" si="25"/>
        <v>97131083.333333328</v>
      </c>
      <c r="O29" s="389">
        <f t="shared" si="25"/>
        <v>97131083.333333328</v>
      </c>
      <c r="P29" s="423">
        <f t="shared" si="2"/>
        <v>1165573000.0000002</v>
      </c>
    </row>
    <row r="30" spans="1:17" s="382" customFormat="1" x14ac:dyDescent="0.25">
      <c r="A30" s="1071" t="s">
        <v>115</v>
      </c>
      <c r="B30" s="1075" t="s">
        <v>210</v>
      </c>
      <c r="C30" s="1069">
        <f>'2020. 1.bevkiadfőössz. '!O30</f>
        <v>0</v>
      </c>
      <c r="D30" s="389">
        <f>+$C$30/12</f>
        <v>0</v>
      </c>
      <c r="E30" s="389">
        <f t="shared" ref="E30:O30" si="26">+$C$30/12</f>
        <v>0</v>
      </c>
      <c r="F30" s="389">
        <f t="shared" si="26"/>
        <v>0</v>
      </c>
      <c r="G30" s="389">
        <f t="shared" si="26"/>
        <v>0</v>
      </c>
      <c r="H30" s="389">
        <f t="shared" si="26"/>
        <v>0</v>
      </c>
      <c r="I30" s="389">
        <f t="shared" si="26"/>
        <v>0</v>
      </c>
      <c r="J30" s="389">
        <f t="shared" si="26"/>
        <v>0</v>
      </c>
      <c r="K30" s="389">
        <f t="shared" si="26"/>
        <v>0</v>
      </c>
      <c r="L30" s="389">
        <f t="shared" si="26"/>
        <v>0</v>
      </c>
      <c r="M30" s="389">
        <f t="shared" si="26"/>
        <v>0</v>
      </c>
      <c r="N30" s="389">
        <f t="shared" si="26"/>
        <v>0</v>
      </c>
      <c r="O30" s="389">
        <f t="shared" si="26"/>
        <v>0</v>
      </c>
      <c r="P30" s="423">
        <f t="shared" si="2"/>
        <v>0</v>
      </c>
    </row>
    <row r="31" spans="1:17" s="382" customFormat="1" x14ac:dyDescent="0.25">
      <c r="A31" s="1071" t="s">
        <v>24</v>
      </c>
      <c r="B31" s="1075" t="s">
        <v>314</v>
      </c>
      <c r="C31" s="1069">
        <f>'2020. 1.bevkiadfőössz. '!O31</f>
        <v>42636786</v>
      </c>
      <c r="D31" s="389">
        <f>+$C$31/12</f>
        <v>3553065.5</v>
      </c>
      <c r="E31" s="389">
        <f t="shared" ref="E31:O31" si="27">+$C$31/12</f>
        <v>3553065.5</v>
      </c>
      <c r="F31" s="389">
        <f t="shared" si="27"/>
        <v>3553065.5</v>
      </c>
      <c r="G31" s="389">
        <f t="shared" si="27"/>
        <v>3553065.5</v>
      </c>
      <c r="H31" s="389">
        <f t="shared" si="27"/>
        <v>3553065.5</v>
      </c>
      <c r="I31" s="389">
        <f t="shared" si="27"/>
        <v>3553065.5</v>
      </c>
      <c r="J31" s="389">
        <f t="shared" si="27"/>
        <v>3553065.5</v>
      </c>
      <c r="K31" s="389">
        <f t="shared" si="27"/>
        <v>3553065.5</v>
      </c>
      <c r="L31" s="389">
        <f t="shared" si="27"/>
        <v>3553065.5</v>
      </c>
      <c r="M31" s="389">
        <f t="shared" si="27"/>
        <v>3553065.5</v>
      </c>
      <c r="N31" s="389">
        <f t="shared" si="27"/>
        <v>3553065.5</v>
      </c>
      <c r="O31" s="389">
        <f t="shared" si="27"/>
        <v>3553065.5</v>
      </c>
      <c r="P31" s="423">
        <f t="shared" si="2"/>
        <v>42636786</v>
      </c>
    </row>
    <row r="32" spans="1:17" s="382" customFormat="1" ht="22.5" x14ac:dyDescent="0.25">
      <c r="A32" s="1071" t="s">
        <v>25</v>
      </c>
      <c r="B32" s="1075" t="s">
        <v>86</v>
      </c>
      <c r="C32" s="1069">
        <f>'2020. 1.bevkiadfőössz. '!O32</f>
        <v>0</v>
      </c>
      <c r="D32" s="389">
        <f>+$C$32/12</f>
        <v>0</v>
      </c>
      <c r="E32" s="389">
        <f t="shared" ref="E32:O32" si="28">+$C$32/12</f>
        <v>0</v>
      </c>
      <c r="F32" s="389">
        <f t="shared" si="28"/>
        <v>0</v>
      </c>
      <c r="G32" s="389">
        <f t="shared" si="28"/>
        <v>0</v>
      </c>
      <c r="H32" s="389">
        <f t="shared" si="28"/>
        <v>0</v>
      </c>
      <c r="I32" s="389">
        <f t="shared" si="28"/>
        <v>0</v>
      </c>
      <c r="J32" s="389">
        <f t="shared" si="28"/>
        <v>0</v>
      </c>
      <c r="K32" s="389">
        <f t="shared" si="28"/>
        <v>0</v>
      </c>
      <c r="L32" s="389">
        <f t="shared" si="28"/>
        <v>0</v>
      </c>
      <c r="M32" s="389">
        <f t="shared" si="28"/>
        <v>0</v>
      </c>
      <c r="N32" s="389">
        <f t="shared" si="28"/>
        <v>0</v>
      </c>
      <c r="O32" s="389">
        <f t="shared" si="28"/>
        <v>0</v>
      </c>
      <c r="P32" s="423">
        <f t="shared" si="2"/>
        <v>0</v>
      </c>
    </row>
    <row r="33" spans="1:16" s="382" customFormat="1" ht="21" x14ac:dyDescent="0.25">
      <c r="A33" s="849" t="s">
        <v>26</v>
      </c>
      <c r="B33" s="850" t="s">
        <v>87</v>
      </c>
      <c r="C33" s="1069">
        <f>'2020. 1.bevkiadfőössz. '!O33</f>
        <v>2126951829</v>
      </c>
      <c r="D33" s="389">
        <f>+$C$33/12</f>
        <v>177245985.75</v>
      </c>
      <c r="E33" s="389">
        <f t="shared" ref="E33:O33" si="29">+$C$33/12</f>
        <v>177245985.75</v>
      </c>
      <c r="F33" s="389">
        <f t="shared" si="29"/>
        <v>177245985.75</v>
      </c>
      <c r="G33" s="389">
        <f t="shared" si="29"/>
        <v>177245985.75</v>
      </c>
      <c r="H33" s="389">
        <f t="shared" si="29"/>
        <v>177245985.75</v>
      </c>
      <c r="I33" s="389">
        <f t="shared" si="29"/>
        <v>177245985.75</v>
      </c>
      <c r="J33" s="389">
        <f t="shared" si="29"/>
        <v>177245985.75</v>
      </c>
      <c r="K33" s="389">
        <f t="shared" si="29"/>
        <v>177245985.75</v>
      </c>
      <c r="L33" s="389">
        <f t="shared" si="29"/>
        <v>177245985.75</v>
      </c>
      <c r="M33" s="389">
        <f t="shared" si="29"/>
        <v>177245985.75</v>
      </c>
      <c r="N33" s="389">
        <f t="shared" si="29"/>
        <v>177245985.75</v>
      </c>
      <c r="O33" s="389">
        <f t="shared" si="29"/>
        <v>177245985.75</v>
      </c>
      <c r="P33" s="423">
        <f t="shared" si="2"/>
        <v>2126951829</v>
      </c>
    </row>
    <row r="34" spans="1:16" s="382" customFormat="1" ht="21" x14ac:dyDescent="0.25">
      <c r="A34" s="1076" t="s">
        <v>27</v>
      </c>
      <c r="B34" s="1077" t="s">
        <v>88</v>
      </c>
      <c r="C34" s="1069">
        <f>'2020. 1.bevkiadfőössz. '!O34</f>
        <v>5806970829</v>
      </c>
      <c r="D34" s="389">
        <f>+$C$34/12</f>
        <v>483914235.75</v>
      </c>
      <c r="E34" s="389">
        <f t="shared" ref="E34:O34" si="30">+$C$34/12</f>
        <v>483914235.75</v>
      </c>
      <c r="F34" s="389">
        <f t="shared" si="30"/>
        <v>483914235.75</v>
      </c>
      <c r="G34" s="389">
        <f t="shared" si="30"/>
        <v>483914235.75</v>
      </c>
      <c r="H34" s="389">
        <f t="shared" si="30"/>
        <v>483914235.75</v>
      </c>
      <c r="I34" s="389">
        <f t="shared" si="30"/>
        <v>483914235.75</v>
      </c>
      <c r="J34" s="389">
        <f t="shared" si="30"/>
        <v>483914235.75</v>
      </c>
      <c r="K34" s="389">
        <f t="shared" si="30"/>
        <v>483914235.75</v>
      </c>
      <c r="L34" s="389">
        <f t="shared" si="30"/>
        <v>483914235.75</v>
      </c>
      <c r="M34" s="389">
        <f t="shared" si="30"/>
        <v>483914235.75</v>
      </c>
      <c r="N34" s="389">
        <f t="shared" si="30"/>
        <v>483914235.75</v>
      </c>
      <c r="O34" s="389">
        <f t="shared" si="30"/>
        <v>483914235.75</v>
      </c>
      <c r="P34" s="423">
        <f t="shared" si="2"/>
        <v>5806970829</v>
      </c>
    </row>
    <row r="35" spans="1:16" s="382" customFormat="1" x14ac:dyDescent="0.25">
      <c r="A35" s="395" t="s">
        <v>28</v>
      </c>
      <c r="B35" s="1078" t="s">
        <v>89</v>
      </c>
      <c r="C35" s="1069">
        <f>'2020. 1.bevkiadfőössz. '!O35</f>
        <v>1165573000</v>
      </c>
      <c r="D35" s="389">
        <f>+$C$35/12</f>
        <v>97131083.333333328</v>
      </c>
      <c r="E35" s="389">
        <f t="shared" ref="E35:O35" si="31">+$C$35/12</f>
        <v>97131083.333333328</v>
      </c>
      <c r="F35" s="389">
        <f t="shared" si="31"/>
        <v>97131083.333333328</v>
      </c>
      <c r="G35" s="389">
        <f t="shared" si="31"/>
        <v>97131083.333333328</v>
      </c>
      <c r="H35" s="389">
        <f t="shared" si="31"/>
        <v>97131083.333333328</v>
      </c>
      <c r="I35" s="389">
        <f t="shared" si="31"/>
        <v>97131083.333333328</v>
      </c>
      <c r="J35" s="389">
        <f t="shared" si="31"/>
        <v>97131083.333333328</v>
      </c>
      <c r="K35" s="389">
        <f t="shared" si="31"/>
        <v>97131083.333333328</v>
      </c>
      <c r="L35" s="389">
        <f t="shared" si="31"/>
        <v>97131083.333333328</v>
      </c>
      <c r="M35" s="389">
        <f t="shared" si="31"/>
        <v>97131083.333333328</v>
      </c>
      <c r="N35" s="389">
        <f t="shared" si="31"/>
        <v>97131083.333333328</v>
      </c>
      <c r="O35" s="389">
        <f t="shared" si="31"/>
        <v>97131083.333333328</v>
      </c>
      <c r="P35" s="423">
        <f t="shared" si="2"/>
        <v>1165573000.0000002</v>
      </c>
    </row>
    <row r="36" spans="1:16" s="382" customFormat="1" x14ac:dyDescent="0.25">
      <c r="A36" s="1079" t="s">
        <v>29</v>
      </c>
      <c r="B36" s="1078" t="s">
        <v>210</v>
      </c>
      <c r="C36" s="1069">
        <f>'2020. 1.bevkiadfőössz. '!O36</f>
        <v>0</v>
      </c>
      <c r="D36" s="389">
        <f>+$C$36/12</f>
        <v>0</v>
      </c>
      <c r="E36" s="389">
        <f t="shared" ref="E36:O36" si="32">+$C$36/12</f>
        <v>0</v>
      </c>
      <c r="F36" s="389">
        <f t="shared" si="32"/>
        <v>0</v>
      </c>
      <c r="G36" s="389">
        <f t="shared" si="32"/>
        <v>0</v>
      </c>
      <c r="H36" s="389">
        <f t="shared" si="32"/>
        <v>0</v>
      </c>
      <c r="I36" s="389">
        <f t="shared" si="32"/>
        <v>0</v>
      </c>
      <c r="J36" s="389">
        <f t="shared" si="32"/>
        <v>0</v>
      </c>
      <c r="K36" s="389">
        <f t="shared" si="32"/>
        <v>0</v>
      </c>
      <c r="L36" s="389">
        <f t="shared" si="32"/>
        <v>0</v>
      </c>
      <c r="M36" s="389">
        <f t="shared" si="32"/>
        <v>0</v>
      </c>
      <c r="N36" s="389">
        <f t="shared" si="32"/>
        <v>0</v>
      </c>
      <c r="O36" s="389">
        <f t="shared" si="32"/>
        <v>0</v>
      </c>
      <c r="P36" s="423">
        <f t="shared" si="2"/>
        <v>0</v>
      </c>
    </row>
    <row r="37" spans="1:16" s="382" customFormat="1" x14ac:dyDescent="0.25">
      <c r="A37" s="395" t="s">
        <v>209</v>
      </c>
      <c r="B37" s="1080" t="s">
        <v>63</v>
      </c>
      <c r="C37" s="1069">
        <f>'2020. 1.bevkiadfőössz. '!O37</f>
        <v>4641397829</v>
      </c>
      <c r="D37" s="389">
        <f>+$C$37/12</f>
        <v>386783152.41666669</v>
      </c>
      <c r="E37" s="389">
        <f t="shared" ref="E37:O37" si="33">+$C$37/12</f>
        <v>386783152.41666669</v>
      </c>
      <c r="F37" s="389">
        <f t="shared" si="33"/>
        <v>386783152.41666669</v>
      </c>
      <c r="G37" s="389">
        <f t="shared" si="33"/>
        <v>386783152.41666669</v>
      </c>
      <c r="H37" s="389">
        <f t="shared" si="33"/>
        <v>386783152.41666669</v>
      </c>
      <c r="I37" s="389">
        <f t="shared" si="33"/>
        <v>386783152.41666669</v>
      </c>
      <c r="J37" s="389">
        <f t="shared" si="33"/>
        <v>386783152.41666669</v>
      </c>
      <c r="K37" s="389">
        <f t="shared" si="33"/>
        <v>386783152.41666669</v>
      </c>
      <c r="L37" s="389">
        <f t="shared" si="33"/>
        <v>386783152.41666669</v>
      </c>
      <c r="M37" s="389">
        <f t="shared" si="33"/>
        <v>386783152.41666669</v>
      </c>
      <c r="N37" s="389">
        <f t="shared" si="33"/>
        <v>386783152.41666669</v>
      </c>
      <c r="O37" s="389">
        <f t="shared" si="33"/>
        <v>386783152.41666669</v>
      </c>
      <c r="P37" s="423">
        <f t="shared" si="2"/>
        <v>4641397828.999999</v>
      </c>
    </row>
    <row r="38" spans="1:16" s="382" customFormat="1" x14ac:dyDescent="0.25">
      <c r="A38" s="1081"/>
      <c r="B38" s="1082" t="s">
        <v>180</v>
      </c>
      <c r="C38" s="1085"/>
      <c r="D38" s="428">
        <f>D37</f>
        <v>386783152.41666669</v>
      </c>
      <c r="E38" s="428">
        <f>+D38+E37</f>
        <v>773566304.83333337</v>
      </c>
      <c r="F38" s="428">
        <f t="shared" ref="F38:O38" si="34">+E38+F37</f>
        <v>1160349457.25</v>
      </c>
      <c r="G38" s="428">
        <f t="shared" si="34"/>
        <v>1547132609.6666667</v>
      </c>
      <c r="H38" s="428">
        <f t="shared" si="34"/>
        <v>1933915762.0833335</v>
      </c>
      <c r="I38" s="428">
        <f t="shared" si="34"/>
        <v>2320698914.5</v>
      </c>
      <c r="J38" s="428">
        <f t="shared" si="34"/>
        <v>2707482066.9166665</v>
      </c>
      <c r="K38" s="428">
        <f t="shared" si="34"/>
        <v>3094265219.333333</v>
      </c>
      <c r="L38" s="428">
        <f t="shared" si="34"/>
        <v>3481048371.7499995</v>
      </c>
      <c r="M38" s="428">
        <f t="shared" si="34"/>
        <v>3867831524.166666</v>
      </c>
      <c r="N38" s="428">
        <f t="shared" si="34"/>
        <v>4254614676.5833325</v>
      </c>
      <c r="O38" s="428">
        <f t="shared" si="34"/>
        <v>4641397828.999999</v>
      </c>
    </row>
    <row r="39" spans="1:16" s="382" customFormat="1" x14ac:dyDescent="0.25">
      <c r="A39" s="762"/>
      <c r="B39" s="1084"/>
      <c r="C39" s="1083"/>
      <c r="D39" s="394"/>
      <c r="E39" s="394"/>
      <c r="F39" s="394"/>
      <c r="G39" s="394"/>
      <c r="H39" s="394"/>
      <c r="I39" s="394"/>
      <c r="J39" s="444"/>
    </row>
    <row r="40" spans="1:16" x14ac:dyDescent="0.2">
      <c r="A40" s="843"/>
      <c r="B40" s="998"/>
    </row>
    <row r="41" spans="1:16" x14ac:dyDescent="0.2">
      <c r="A41" s="999"/>
      <c r="B41" s="1000"/>
    </row>
    <row r="42" spans="1:16" x14ac:dyDescent="0.2">
      <c r="A42" s="999"/>
      <c r="B42" s="1001"/>
    </row>
    <row r="43" spans="1:16" x14ac:dyDescent="0.2">
      <c r="A43" s="999"/>
      <c r="B43" s="1000"/>
    </row>
    <row r="44" spans="1:16" x14ac:dyDescent="0.2">
      <c r="A44" s="999"/>
      <c r="B44" s="1000"/>
    </row>
    <row r="45" spans="1:16" x14ac:dyDescent="0.2">
      <c r="A45" s="843"/>
      <c r="B45" s="844"/>
    </row>
  </sheetData>
  <mergeCells count="3">
    <mergeCell ref="O3:P3"/>
    <mergeCell ref="N1:P1"/>
    <mergeCell ref="A2:P2"/>
  </mergeCells>
  <phoneticPr fontId="3" type="noConversion"/>
  <pageMargins left="0.21" right="0.17" top="0.19685039370078741" bottom="0.15748031496062992" header="0.23622047244094491" footer="0.23622047244094491"/>
  <pageSetup paperSize="9" scale="73" orientation="landscape" r:id="rId1"/>
  <headerFooter>
    <oddHeader xml:space="preserve">&amp;R   </oddHeader>
  </headerFooter>
  <colBreaks count="1" manualBreakCount="1">
    <brk id="16" max="3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44"/>
  <sheetViews>
    <sheetView view="pageBreakPreview" zoomScaleNormal="100" zoomScaleSheetLayoutView="100" workbookViewId="0">
      <selection activeCell="P35" sqref="A1:P35"/>
    </sheetView>
  </sheetViews>
  <sheetFormatPr defaultColWidth="9.28515625" defaultRowHeight="15" x14ac:dyDescent="0.25"/>
  <cols>
    <col min="1" max="1" width="4.7109375" customWidth="1"/>
    <col min="2" max="2" width="36.7109375" customWidth="1"/>
    <col min="3" max="3" width="10.42578125" bestFit="1" customWidth="1"/>
    <col min="4" max="5" width="9.28515625" bestFit="1" customWidth="1"/>
    <col min="6" max="16" width="10.42578125" bestFit="1" customWidth="1"/>
    <col min="17" max="17" width="6.42578125" bestFit="1" customWidth="1"/>
  </cols>
  <sheetData>
    <row r="1" spans="1:19" ht="34.5" customHeight="1" x14ac:dyDescent="0.25">
      <c r="A1" s="106"/>
      <c r="B1" s="106"/>
      <c r="C1" s="106"/>
      <c r="I1" s="67"/>
      <c r="J1" s="67"/>
      <c r="K1" s="67"/>
      <c r="L1" s="67"/>
      <c r="M1" s="1134" t="s">
        <v>612</v>
      </c>
      <c r="N1" s="1134"/>
      <c r="O1" s="1134"/>
      <c r="P1" s="1134"/>
    </row>
    <row r="2" spans="1:19" s="106" customFormat="1" ht="33" customHeight="1" x14ac:dyDescent="0.25">
      <c r="A2" s="1163" t="s">
        <v>688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</row>
    <row r="3" spans="1:19" x14ac:dyDescent="0.25">
      <c r="A3" s="106"/>
      <c r="B3" s="106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R3" s="29"/>
    </row>
    <row r="4" spans="1:19" ht="14.25" customHeight="1" x14ac:dyDescent="0.25">
      <c r="A4" s="991"/>
      <c r="B4" s="992" t="s">
        <v>5</v>
      </c>
      <c r="C4" s="609"/>
      <c r="D4" s="2"/>
      <c r="E4" s="2"/>
      <c r="F4" s="2"/>
      <c r="G4" s="2"/>
      <c r="H4" s="2"/>
      <c r="I4" s="67"/>
      <c r="J4" s="67"/>
      <c r="K4" s="67"/>
      <c r="L4" s="67"/>
      <c r="M4" s="77"/>
      <c r="N4" s="68"/>
      <c r="O4" s="1162" t="s">
        <v>339</v>
      </c>
      <c r="P4" s="1162"/>
      <c r="R4" s="29"/>
    </row>
    <row r="5" spans="1:19" ht="21" customHeight="1" x14ac:dyDescent="0.25">
      <c r="A5" s="625" t="s">
        <v>223</v>
      </c>
      <c r="B5" s="654" t="s">
        <v>31</v>
      </c>
      <c r="C5" s="675"/>
      <c r="D5" s="88" t="s">
        <v>169</v>
      </c>
      <c r="E5" s="88" t="s">
        <v>170</v>
      </c>
      <c r="F5" s="88" t="s">
        <v>171</v>
      </c>
      <c r="G5" s="88" t="s">
        <v>172</v>
      </c>
      <c r="H5" s="88" t="s">
        <v>173</v>
      </c>
      <c r="I5" s="88" t="s">
        <v>275</v>
      </c>
      <c r="J5" s="88" t="s">
        <v>174</v>
      </c>
      <c r="K5" s="88" t="s">
        <v>175</v>
      </c>
      <c r="L5" s="88" t="s">
        <v>176</v>
      </c>
      <c r="M5" s="88" t="s">
        <v>177</v>
      </c>
      <c r="N5" s="88" t="s">
        <v>178</v>
      </c>
      <c r="O5" s="88" t="s">
        <v>179</v>
      </c>
      <c r="P5" s="88" t="s">
        <v>36</v>
      </c>
      <c r="R5" s="29"/>
    </row>
    <row r="6" spans="1:19" ht="25.5" customHeight="1" x14ac:dyDescent="0.25">
      <c r="A6" s="648" t="s">
        <v>11</v>
      </c>
      <c r="B6" s="636" t="s">
        <v>90</v>
      </c>
      <c r="C6" s="676">
        <f>'2020. 1.bevkiadfőössz. '!O41</f>
        <v>3002778592</v>
      </c>
      <c r="D6" s="752">
        <f>+$C$6/12</f>
        <v>250231549.33333334</v>
      </c>
      <c r="E6" s="752">
        <f t="shared" ref="E6:O6" si="0">+$C$6/12</f>
        <v>250231549.33333334</v>
      </c>
      <c r="F6" s="752">
        <f t="shared" si="0"/>
        <v>250231549.33333334</v>
      </c>
      <c r="G6" s="752">
        <f t="shared" si="0"/>
        <v>250231549.33333334</v>
      </c>
      <c r="H6" s="752">
        <f t="shared" si="0"/>
        <v>250231549.33333334</v>
      </c>
      <c r="I6" s="752">
        <f t="shared" si="0"/>
        <v>250231549.33333334</v>
      </c>
      <c r="J6" s="752">
        <f t="shared" si="0"/>
        <v>250231549.33333334</v>
      </c>
      <c r="K6" s="752">
        <f t="shared" si="0"/>
        <v>250231549.33333334</v>
      </c>
      <c r="L6" s="752">
        <f t="shared" si="0"/>
        <v>250231549.33333334</v>
      </c>
      <c r="M6" s="752">
        <f t="shared" si="0"/>
        <v>250231549.33333334</v>
      </c>
      <c r="N6" s="752">
        <f t="shared" si="0"/>
        <v>250231549.33333334</v>
      </c>
      <c r="O6" s="752">
        <f t="shared" si="0"/>
        <v>250231549.33333334</v>
      </c>
      <c r="P6" s="752">
        <f>SUM(D6:O6)</f>
        <v>3002778592.0000005</v>
      </c>
      <c r="R6" s="83">
        <v>2145157</v>
      </c>
      <c r="S6" s="6">
        <f>+P6-C6</f>
        <v>0</v>
      </c>
    </row>
    <row r="7" spans="1:19" ht="14.1" customHeight="1" x14ac:dyDescent="0.25">
      <c r="A7" s="650" t="s">
        <v>53</v>
      </c>
      <c r="B7" s="634" t="s">
        <v>6</v>
      </c>
      <c r="C7" s="676">
        <f>'2020. 1.bevkiadfőössz. '!O42</f>
        <v>1041816812</v>
      </c>
      <c r="D7" s="752">
        <f>+$C$7/12</f>
        <v>86818067.666666672</v>
      </c>
      <c r="E7" s="752">
        <f t="shared" ref="E7:O7" si="1">+$C$7/12</f>
        <v>86818067.666666672</v>
      </c>
      <c r="F7" s="752">
        <f t="shared" si="1"/>
        <v>86818067.666666672</v>
      </c>
      <c r="G7" s="752">
        <f t="shared" si="1"/>
        <v>86818067.666666672</v>
      </c>
      <c r="H7" s="752">
        <f t="shared" si="1"/>
        <v>86818067.666666672</v>
      </c>
      <c r="I7" s="752">
        <f t="shared" si="1"/>
        <v>86818067.666666672</v>
      </c>
      <c r="J7" s="752">
        <f t="shared" si="1"/>
        <v>86818067.666666672</v>
      </c>
      <c r="K7" s="752">
        <f t="shared" si="1"/>
        <v>86818067.666666672</v>
      </c>
      <c r="L7" s="752">
        <f t="shared" si="1"/>
        <v>86818067.666666672</v>
      </c>
      <c r="M7" s="752">
        <f t="shared" si="1"/>
        <v>86818067.666666672</v>
      </c>
      <c r="N7" s="752">
        <f t="shared" si="1"/>
        <v>86818067.666666672</v>
      </c>
      <c r="O7" s="752">
        <f t="shared" si="1"/>
        <v>86818067.666666672</v>
      </c>
      <c r="P7" s="752">
        <f t="shared" ref="P7:P34" si="2">SUM(D7:O7)</f>
        <v>1041816811.9999999</v>
      </c>
      <c r="Q7" s="11">
        <f t="shared" ref="Q7:Q15" si="3">+R7/12</f>
        <v>67892.333333333328</v>
      </c>
      <c r="R7" s="83">
        <v>814708</v>
      </c>
      <c r="S7" s="6">
        <f t="shared" ref="S7:S31" si="4">+P7-C7</f>
        <v>0</v>
      </c>
    </row>
    <row r="8" spans="1:19" ht="13.5" customHeight="1" x14ac:dyDescent="0.25">
      <c r="A8" s="650" t="s">
        <v>54</v>
      </c>
      <c r="B8" s="634" t="s">
        <v>94</v>
      </c>
      <c r="C8" s="676">
        <f>'2020. 1.bevkiadfőössz. '!O43</f>
        <v>170962000</v>
      </c>
      <c r="D8" s="752">
        <f>+$C$8/12</f>
        <v>14246833.333333334</v>
      </c>
      <c r="E8" s="752">
        <f t="shared" ref="E8:O8" si="5">+$C$8/12</f>
        <v>14246833.333333334</v>
      </c>
      <c r="F8" s="752">
        <f t="shared" si="5"/>
        <v>14246833.333333334</v>
      </c>
      <c r="G8" s="752">
        <f t="shared" si="5"/>
        <v>14246833.333333334</v>
      </c>
      <c r="H8" s="752">
        <f t="shared" si="5"/>
        <v>14246833.333333334</v>
      </c>
      <c r="I8" s="752">
        <f t="shared" si="5"/>
        <v>14246833.333333334</v>
      </c>
      <c r="J8" s="752">
        <f t="shared" si="5"/>
        <v>14246833.333333334</v>
      </c>
      <c r="K8" s="752">
        <f t="shared" si="5"/>
        <v>14246833.333333334</v>
      </c>
      <c r="L8" s="752">
        <f t="shared" si="5"/>
        <v>14246833.333333334</v>
      </c>
      <c r="M8" s="752">
        <f t="shared" si="5"/>
        <v>14246833.333333334</v>
      </c>
      <c r="N8" s="752">
        <f t="shared" si="5"/>
        <v>14246833.333333334</v>
      </c>
      <c r="O8" s="752">
        <f t="shared" si="5"/>
        <v>14246833.333333334</v>
      </c>
      <c r="P8" s="752">
        <f t="shared" si="2"/>
        <v>170962000</v>
      </c>
      <c r="Q8" s="11">
        <f t="shared" si="3"/>
        <v>12652.666666666666</v>
      </c>
      <c r="R8" s="83">
        <v>151832</v>
      </c>
      <c r="S8" s="6">
        <f t="shared" si="4"/>
        <v>0</v>
      </c>
    </row>
    <row r="9" spans="1:19" ht="14.1" customHeight="1" x14ac:dyDescent="0.25">
      <c r="A9" s="650" t="s">
        <v>55</v>
      </c>
      <c r="B9" s="634" t="s">
        <v>95</v>
      </c>
      <c r="C9" s="676">
        <f>'2020. 1.bevkiadfőössz. '!O44</f>
        <v>1115686281</v>
      </c>
      <c r="D9" s="752">
        <f>+$C$9/12</f>
        <v>92973856.75</v>
      </c>
      <c r="E9" s="752">
        <f t="shared" ref="E9:O9" si="6">+$C$9/12</f>
        <v>92973856.75</v>
      </c>
      <c r="F9" s="752">
        <f t="shared" si="6"/>
        <v>92973856.75</v>
      </c>
      <c r="G9" s="752">
        <f t="shared" si="6"/>
        <v>92973856.75</v>
      </c>
      <c r="H9" s="752">
        <f t="shared" si="6"/>
        <v>92973856.75</v>
      </c>
      <c r="I9" s="752">
        <f t="shared" si="6"/>
        <v>92973856.75</v>
      </c>
      <c r="J9" s="752">
        <f t="shared" si="6"/>
        <v>92973856.75</v>
      </c>
      <c r="K9" s="752">
        <f t="shared" si="6"/>
        <v>92973856.75</v>
      </c>
      <c r="L9" s="752">
        <f t="shared" si="6"/>
        <v>92973856.75</v>
      </c>
      <c r="M9" s="752">
        <f t="shared" si="6"/>
        <v>92973856.75</v>
      </c>
      <c r="N9" s="752">
        <f t="shared" si="6"/>
        <v>92973856.75</v>
      </c>
      <c r="O9" s="752">
        <f t="shared" si="6"/>
        <v>92973856.75</v>
      </c>
      <c r="P9" s="752">
        <f t="shared" si="2"/>
        <v>1115686281</v>
      </c>
      <c r="Q9" s="11">
        <f t="shared" si="3"/>
        <v>58272.083333333336</v>
      </c>
      <c r="R9" s="83">
        <v>699265</v>
      </c>
      <c r="S9" s="6">
        <f t="shared" si="4"/>
        <v>0</v>
      </c>
    </row>
    <row r="10" spans="1:19" ht="14.1" customHeight="1" x14ac:dyDescent="0.25">
      <c r="A10" s="650" t="s">
        <v>56</v>
      </c>
      <c r="B10" s="634" t="s">
        <v>96</v>
      </c>
      <c r="C10" s="676">
        <f>'2020. 1.bevkiadfőössz. '!O45</f>
        <v>17000000</v>
      </c>
      <c r="D10" s="752">
        <f>+$C$10/12</f>
        <v>1416666.6666666667</v>
      </c>
      <c r="E10" s="752">
        <f t="shared" ref="E10:O10" si="7">+$C$10/12</f>
        <v>1416666.6666666667</v>
      </c>
      <c r="F10" s="752">
        <f t="shared" si="7"/>
        <v>1416666.6666666667</v>
      </c>
      <c r="G10" s="752">
        <f t="shared" si="7"/>
        <v>1416666.6666666667</v>
      </c>
      <c r="H10" s="752">
        <f t="shared" si="7"/>
        <v>1416666.6666666667</v>
      </c>
      <c r="I10" s="752">
        <f t="shared" si="7"/>
        <v>1416666.6666666667</v>
      </c>
      <c r="J10" s="752">
        <f t="shared" si="7"/>
        <v>1416666.6666666667</v>
      </c>
      <c r="K10" s="752">
        <f t="shared" si="7"/>
        <v>1416666.6666666667</v>
      </c>
      <c r="L10" s="752">
        <f t="shared" si="7"/>
        <v>1416666.6666666667</v>
      </c>
      <c r="M10" s="752">
        <f t="shared" si="7"/>
        <v>1416666.6666666667</v>
      </c>
      <c r="N10" s="752">
        <f t="shared" si="7"/>
        <v>1416666.6666666667</v>
      </c>
      <c r="O10" s="752">
        <f t="shared" si="7"/>
        <v>1416666.6666666667</v>
      </c>
      <c r="P10" s="752">
        <f t="shared" si="2"/>
        <v>16999999.999999996</v>
      </c>
      <c r="Q10" s="11">
        <f t="shared" si="3"/>
        <v>1416.6666666666667</v>
      </c>
      <c r="R10" s="83">
        <v>17000</v>
      </c>
      <c r="S10" s="6">
        <f t="shared" si="4"/>
        <v>0</v>
      </c>
    </row>
    <row r="11" spans="1:19" ht="14.1" customHeight="1" x14ac:dyDescent="0.25">
      <c r="A11" s="650" t="s">
        <v>57</v>
      </c>
      <c r="B11" s="634" t="s">
        <v>97</v>
      </c>
      <c r="C11" s="676">
        <f>'2020. 1.bevkiadfőössz. '!O46</f>
        <v>639315513</v>
      </c>
      <c r="D11" s="752">
        <f>+$C$11/12</f>
        <v>53276292.75</v>
      </c>
      <c r="E11" s="752">
        <f t="shared" ref="E11:O11" si="8">+$C$11/12</f>
        <v>53276292.75</v>
      </c>
      <c r="F11" s="752">
        <f t="shared" si="8"/>
        <v>53276292.75</v>
      </c>
      <c r="G11" s="752">
        <f t="shared" si="8"/>
        <v>53276292.75</v>
      </c>
      <c r="H11" s="752">
        <f t="shared" si="8"/>
        <v>53276292.75</v>
      </c>
      <c r="I11" s="752">
        <f t="shared" si="8"/>
        <v>53276292.75</v>
      </c>
      <c r="J11" s="752">
        <f t="shared" si="8"/>
        <v>53276292.75</v>
      </c>
      <c r="K11" s="752">
        <f t="shared" si="8"/>
        <v>53276292.75</v>
      </c>
      <c r="L11" s="752">
        <f t="shared" si="8"/>
        <v>53276292.75</v>
      </c>
      <c r="M11" s="752">
        <f t="shared" si="8"/>
        <v>53276292.75</v>
      </c>
      <c r="N11" s="752">
        <f t="shared" si="8"/>
        <v>53276292.75</v>
      </c>
      <c r="O11" s="752">
        <f t="shared" si="8"/>
        <v>53276292.75</v>
      </c>
      <c r="P11" s="752">
        <f t="shared" si="2"/>
        <v>639315513</v>
      </c>
      <c r="Q11" s="11">
        <f t="shared" si="3"/>
        <v>47399.5</v>
      </c>
      <c r="R11" s="83">
        <v>568794</v>
      </c>
      <c r="S11" s="6">
        <f t="shared" si="4"/>
        <v>0</v>
      </c>
    </row>
    <row r="12" spans="1:19" x14ac:dyDescent="0.25">
      <c r="A12" s="650" t="s">
        <v>91</v>
      </c>
      <c r="B12" s="634" t="s">
        <v>330</v>
      </c>
      <c r="C12" s="676">
        <f>'2020. 1.bevkiadfőössz. '!O47</f>
        <v>0</v>
      </c>
      <c r="D12" s="752">
        <f>+$C$12/12</f>
        <v>0</v>
      </c>
      <c r="E12" s="752">
        <f t="shared" ref="E12:O12" si="9">+$C$12/12</f>
        <v>0</v>
      </c>
      <c r="F12" s="752">
        <f t="shared" si="9"/>
        <v>0</v>
      </c>
      <c r="G12" s="752">
        <f t="shared" si="9"/>
        <v>0</v>
      </c>
      <c r="H12" s="752">
        <f t="shared" si="9"/>
        <v>0</v>
      </c>
      <c r="I12" s="752">
        <f t="shared" si="9"/>
        <v>0</v>
      </c>
      <c r="J12" s="752">
        <f t="shared" si="9"/>
        <v>0</v>
      </c>
      <c r="K12" s="752">
        <f t="shared" si="9"/>
        <v>0</v>
      </c>
      <c r="L12" s="752">
        <f t="shared" si="9"/>
        <v>0</v>
      </c>
      <c r="M12" s="752">
        <f t="shared" si="9"/>
        <v>0</v>
      </c>
      <c r="N12" s="752">
        <f t="shared" si="9"/>
        <v>0</v>
      </c>
      <c r="O12" s="752">
        <f t="shared" si="9"/>
        <v>0</v>
      </c>
      <c r="P12" s="752">
        <f t="shared" si="2"/>
        <v>0</v>
      </c>
      <c r="Q12" s="11">
        <f t="shared" si="3"/>
        <v>24219</v>
      </c>
      <c r="R12" s="83">
        <v>290628</v>
      </c>
      <c r="S12" s="6">
        <f t="shared" si="4"/>
        <v>0</v>
      </c>
    </row>
    <row r="13" spans="1:19" s="106" customFormat="1" x14ac:dyDescent="0.25">
      <c r="A13" s="650" t="s">
        <v>92</v>
      </c>
      <c r="B13" s="634" t="s">
        <v>421</v>
      </c>
      <c r="C13" s="676">
        <f>'2020. 1.bevkiadfőössz. '!O48</f>
        <v>639315513</v>
      </c>
      <c r="D13" s="752">
        <f>+$C$13/12</f>
        <v>53276292.75</v>
      </c>
      <c r="E13" s="752">
        <f t="shared" ref="E13:O13" si="10">+$C$13/12</f>
        <v>53276292.75</v>
      </c>
      <c r="F13" s="752">
        <f t="shared" si="10"/>
        <v>53276292.75</v>
      </c>
      <c r="G13" s="752">
        <f t="shared" si="10"/>
        <v>53276292.75</v>
      </c>
      <c r="H13" s="752">
        <f t="shared" si="10"/>
        <v>53276292.75</v>
      </c>
      <c r="I13" s="752">
        <f t="shared" si="10"/>
        <v>53276292.75</v>
      </c>
      <c r="J13" s="752">
        <f t="shared" si="10"/>
        <v>53276292.75</v>
      </c>
      <c r="K13" s="752">
        <f t="shared" si="10"/>
        <v>53276292.75</v>
      </c>
      <c r="L13" s="752">
        <f t="shared" si="10"/>
        <v>53276292.75</v>
      </c>
      <c r="M13" s="752">
        <f t="shared" si="10"/>
        <v>53276292.75</v>
      </c>
      <c r="N13" s="752">
        <f t="shared" si="10"/>
        <v>53276292.75</v>
      </c>
      <c r="O13" s="752">
        <f t="shared" si="10"/>
        <v>53276292.75</v>
      </c>
      <c r="P13" s="752">
        <f t="shared" si="2"/>
        <v>639315513</v>
      </c>
      <c r="Q13" s="11"/>
      <c r="R13" s="83"/>
      <c r="S13" s="6">
        <f t="shared" si="4"/>
        <v>0</v>
      </c>
    </row>
    <row r="14" spans="1:19" s="106" customFormat="1" ht="23.25" x14ac:dyDescent="0.25">
      <c r="A14" s="1015" t="s">
        <v>329</v>
      </c>
      <c r="B14" s="1016" t="s">
        <v>98</v>
      </c>
      <c r="C14" s="676">
        <f>'2020. 1.bevkiadfőössz. '!O49</f>
        <v>288855513</v>
      </c>
      <c r="D14" s="752">
        <f>+$C$14/12</f>
        <v>24071292.75</v>
      </c>
      <c r="E14" s="752">
        <f t="shared" ref="E14:O14" si="11">+$C$14/12</f>
        <v>24071292.75</v>
      </c>
      <c r="F14" s="752">
        <f t="shared" si="11"/>
        <v>24071292.75</v>
      </c>
      <c r="G14" s="752">
        <f t="shared" si="11"/>
        <v>24071292.75</v>
      </c>
      <c r="H14" s="752">
        <f t="shared" si="11"/>
        <v>24071292.75</v>
      </c>
      <c r="I14" s="752">
        <f t="shared" si="11"/>
        <v>24071292.75</v>
      </c>
      <c r="J14" s="752">
        <f t="shared" si="11"/>
        <v>24071292.75</v>
      </c>
      <c r="K14" s="752">
        <f t="shared" si="11"/>
        <v>24071292.75</v>
      </c>
      <c r="L14" s="752">
        <f t="shared" si="11"/>
        <v>24071292.75</v>
      </c>
      <c r="M14" s="752">
        <f t="shared" si="11"/>
        <v>24071292.75</v>
      </c>
      <c r="N14" s="752">
        <f t="shared" si="11"/>
        <v>24071292.75</v>
      </c>
      <c r="O14" s="752">
        <f t="shared" si="11"/>
        <v>24071292.75</v>
      </c>
      <c r="P14" s="752">
        <f t="shared" si="2"/>
        <v>288855513</v>
      </c>
      <c r="Q14" s="11"/>
      <c r="R14" s="83"/>
      <c r="S14" s="6">
        <f t="shared" si="4"/>
        <v>0</v>
      </c>
    </row>
    <row r="15" spans="1:19" ht="23.25" x14ac:dyDescent="0.25">
      <c r="A15" s="1015" t="s">
        <v>420</v>
      </c>
      <c r="B15" s="1016" t="s">
        <v>99</v>
      </c>
      <c r="C15" s="676">
        <f>'2020. 1.bevkiadfőössz. '!O50</f>
        <v>350460000</v>
      </c>
      <c r="D15" s="752">
        <f>+$C$15/12</f>
        <v>29205000</v>
      </c>
      <c r="E15" s="752">
        <f t="shared" ref="E15:O15" si="12">+$C$15/12</f>
        <v>29205000</v>
      </c>
      <c r="F15" s="752">
        <f t="shared" si="12"/>
        <v>29205000</v>
      </c>
      <c r="G15" s="752">
        <f t="shared" si="12"/>
        <v>29205000</v>
      </c>
      <c r="H15" s="752">
        <f t="shared" si="12"/>
        <v>29205000</v>
      </c>
      <c r="I15" s="752">
        <f t="shared" si="12"/>
        <v>29205000</v>
      </c>
      <c r="J15" s="752">
        <f t="shared" si="12"/>
        <v>29205000</v>
      </c>
      <c r="K15" s="752">
        <f t="shared" si="12"/>
        <v>29205000</v>
      </c>
      <c r="L15" s="752">
        <f t="shared" si="12"/>
        <v>29205000</v>
      </c>
      <c r="M15" s="752">
        <f t="shared" si="12"/>
        <v>29205000</v>
      </c>
      <c r="N15" s="752">
        <f t="shared" si="12"/>
        <v>29205000</v>
      </c>
      <c r="O15" s="752">
        <f t="shared" si="12"/>
        <v>29205000</v>
      </c>
      <c r="P15" s="752">
        <f t="shared" si="2"/>
        <v>350460000</v>
      </c>
      <c r="Q15" s="11">
        <f t="shared" si="3"/>
        <v>23180.5</v>
      </c>
      <c r="R15" s="83">
        <v>278166</v>
      </c>
      <c r="S15" s="6">
        <f t="shared" si="4"/>
        <v>0</v>
      </c>
    </row>
    <row r="16" spans="1:19" ht="14.1" customHeight="1" x14ac:dyDescent="0.25">
      <c r="A16" s="651" t="s">
        <v>93</v>
      </c>
      <c r="B16" s="636" t="s">
        <v>8</v>
      </c>
      <c r="C16" s="676">
        <f>'2020. 1.bevkiadfőössz. '!O51</f>
        <v>17997986</v>
      </c>
      <c r="D16" s="752">
        <f>+$C$16/12</f>
        <v>1499832.1666666667</v>
      </c>
      <c r="E16" s="752">
        <f t="shared" ref="E16:O16" si="13">+$C$16/12</f>
        <v>1499832.1666666667</v>
      </c>
      <c r="F16" s="752">
        <f t="shared" si="13"/>
        <v>1499832.1666666667</v>
      </c>
      <c r="G16" s="752">
        <f t="shared" si="13"/>
        <v>1499832.1666666667</v>
      </c>
      <c r="H16" s="752">
        <f t="shared" si="13"/>
        <v>1499832.1666666667</v>
      </c>
      <c r="I16" s="752">
        <f t="shared" si="13"/>
        <v>1499832.1666666667</v>
      </c>
      <c r="J16" s="752">
        <f t="shared" si="13"/>
        <v>1499832.1666666667</v>
      </c>
      <c r="K16" s="752">
        <f t="shared" si="13"/>
        <v>1499832.1666666667</v>
      </c>
      <c r="L16" s="752">
        <f t="shared" si="13"/>
        <v>1499832.1666666667</v>
      </c>
      <c r="M16" s="752">
        <f t="shared" si="13"/>
        <v>1499832.1666666667</v>
      </c>
      <c r="N16" s="752">
        <f t="shared" si="13"/>
        <v>1499832.1666666667</v>
      </c>
      <c r="O16" s="752">
        <f t="shared" si="13"/>
        <v>1499832.1666666667</v>
      </c>
      <c r="P16" s="752">
        <f t="shared" si="2"/>
        <v>17997985.999999996</v>
      </c>
      <c r="Q16" s="11">
        <f>+R16/10</f>
        <v>11400</v>
      </c>
      <c r="R16" s="83">
        <v>114000</v>
      </c>
      <c r="S16" s="6">
        <f t="shared" si="4"/>
        <v>0</v>
      </c>
    </row>
    <row r="17" spans="1:19" s="106" customFormat="1" ht="14.1" customHeight="1" x14ac:dyDescent="0.25">
      <c r="A17" s="1015"/>
      <c r="B17" s="1016" t="s">
        <v>250</v>
      </c>
      <c r="C17" s="676">
        <f>'2020. 1.bevkiadfőössz. '!O52</f>
        <v>9000000</v>
      </c>
      <c r="D17" s="752">
        <f>+$C$17/12</f>
        <v>750000</v>
      </c>
      <c r="E17" s="752">
        <f t="shared" ref="E17:O17" si="14">+$C$17/12</f>
        <v>750000</v>
      </c>
      <c r="F17" s="752">
        <f t="shared" si="14"/>
        <v>750000</v>
      </c>
      <c r="G17" s="752">
        <f t="shared" si="14"/>
        <v>750000</v>
      </c>
      <c r="H17" s="752">
        <f t="shared" si="14"/>
        <v>750000</v>
      </c>
      <c r="I17" s="752">
        <f t="shared" si="14"/>
        <v>750000</v>
      </c>
      <c r="J17" s="752">
        <f t="shared" si="14"/>
        <v>750000</v>
      </c>
      <c r="K17" s="752">
        <f t="shared" si="14"/>
        <v>750000</v>
      </c>
      <c r="L17" s="752">
        <f t="shared" si="14"/>
        <v>750000</v>
      </c>
      <c r="M17" s="752">
        <f t="shared" si="14"/>
        <v>750000</v>
      </c>
      <c r="N17" s="752">
        <f t="shared" si="14"/>
        <v>750000</v>
      </c>
      <c r="O17" s="752">
        <f t="shared" si="14"/>
        <v>750000</v>
      </c>
      <c r="P17" s="752">
        <f t="shared" si="2"/>
        <v>9000000</v>
      </c>
      <c r="Q17" s="11"/>
      <c r="R17" s="83"/>
      <c r="S17" s="6">
        <f t="shared" si="4"/>
        <v>0</v>
      </c>
    </row>
    <row r="18" spans="1:19" ht="14.1" customHeight="1" x14ac:dyDescent="0.25">
      <c r="A18" s="651" t="s">
        <v>12</v>
      </c>
      <c r="B18" s="636" t="s">
        <v>100</v>
      </c>
      <c r="C18" s="676">
        <f>'2020. 1.bevkiadfőössz. '!O53</f>
        <v>1168006451</v>
      </c>
      <c r="D18" s="752">
        <f>+$C$18/12</f>
        <v>97333870.916666672</v>
      </c>
      <c r="E18" s="752">
        <f t="shared" ref="E18:O18" si="15">+$C$18/12</f>
        <v>97333870.916666672</v>
      </c>
      <c r="F18" s="752">
        <f t="shared" si="15"/>
        <v>97333870.916666672</v>
      </c>
      <c r="G18" s="752">
        <f t="shared" si="15"/>
        <v>97333870.916666672</v>
      </c>
      <c r="H18" s="752">
        <f t="shared" si="15"/>
        <v>97333870.916666672</v>
      </c>
      <c r="I18" s="752">
        <f t="shared" si="15"/>
        <v>97333870.916666672</v>
      </c>
      <c r="J18" s="752">
        <f t="shared" si="15"/>
        <v>97333870.916666672</v>
      </c>
      <c r="K18" s="752">
        <f t="shared" si="15"/>
        <v>97333870.916666672</v>
      </c>
      <c r="L18" s="752">
        <f t="shared" si="15"/>
        <v>97333870.916666672</v>
      </c>
      <c r="M18" s="752">
        <f t="shared" si="15"/>
        <v>97333870.916666672</v>
      </c>
      <c r="N18" s="752">
        <f t="shared" si="15"/>
        <v>97333870.916666672</v>
      </c>
      <c r="O18" s="752">
        <f t="shared" si="15"/>
        <v>97333870.916666672</v>
      </c>
      <c r="P18" s="752">
        <f t="shared" si="2"/>
        <v>1168006450.9999998</v>
      </c>
      <c r="Q18" s="11">
        <f t="shared" ref="Q18:Q31" si="16">+R18/12</f>
        <v>167801.08333333334</v>
      </c>
      <c r="R18" s="83">
        <v>2013613</v>
      </c>
      <c r="S18" s="6">
        <f t="shared" si="4"/>
        <v>0</v>
      </c>
    </row>
    <row r="19" spans="1:19" ht="14.1" customHeight="1" x14ac:dyDescent="0.25">
      <c r="A19" s="650" t="s">
        <v>49</v>
      </c>
      <c r="B19" s="634" t="s">
        <v>9</v>
      </c>
      <c r="C19" s="676">
        <f>'2020. 1.bevkiadfőössz. '!O54</f>
        <v>988778860</v>
      </c>
      <c r="D19" s="752">
        <f>+$C$19/12</f>
        <v>82398238.333333328</v>
      </c>
      <c r="E19" s="752">
        <f t="shared" ref="E19:O19" si="17">+$C$19/12</f>
        <v>82398238.333333328</v>
      </c>
      <c r="F19" s="752">
        <f t="shared" si="17"/>
        <v>82398238.333333328</v>
      </c>
      <c r="G19" s="752">
        <f t="shared" si="17"/>
        <v>82398238.333333328</v>
      </c>
      <c r="H19" s="752">
        <f t="shared" si="17"/>
        <v>82398238.333333328</v>
      </c>
      <c r="I19" s="752">
        <f t="shared" si="17"/>
        <v>82398238.333333328</v>
      </c>
      <c r="J19" s="752">
        <f t="shared" si="17"/>
        <v>82398238.333333328</v>
      </c>
      <c r="K19" s="752">
        <f t="shared" si="17"/>
        <v>82398238.333333328</v>
      </c>
      <c r="L19" s="752">
        <f t="shared" si="17"/>
        <v>82398238.333333328</v>
      </c>
      <c r="M19" s="752">
        <f t="shared" si="17"/>
        <v>82398238.333333328</v>
      </c>
      <c r="N19" s="752">
        <f t="shared" si="17"/>
        <v>82398238.333333328</v>
      </c>
      <c r="O19" s="752">
        <f t="shared" si="17"/>
        <v>82398238.333333328</v>
      </c>
      <c r="P19" s="752">
        <f t="shared" si="2"/>
        <v>988778860.00000012</v>
      </c>
      <c r="Q19" s="11">
        <f t="shared" si="16"/>
        <v>121812.75</v>
      </c>
      <c r="R19" s="83">
        <v>1461753</v>
      </c>
      <c r="S19" s="6">
        <f t="shared" si="4"/>
        <v>0</v>
      </c>
    </row>
    <row r="20" spans="1:19" ht="14.1" customHeight="1" x14ac:dyDescent="0.25">
      <c r="A20" s="650" t="s">
        <v>50</v>
      </c>
      <c r="B20" s="634" t="s">
        <v>10</v>
      </c>
      <c r="C20" s="676">
        <f>'2020. 1.bevkiadfőössz. '!O55</f>
        <v>179227591</v>
      </c>
      <c r="D20" s="752">
        <f>+$C$20/12</f>
        <v>14935632.583333334</v>
      </c>
      <c r="E20" s="752">
        <f t="shared" ref="E20:O20" si="18">+$C$20/12</f>
        <v>14935632.583333334</v>
      </c>
      <c r="F20" s="752">
        <f t="shared" si="18"/>
        <v>14935632.583333334</v>
      </c>
      <c r="G20" s="752">
        <f t="shared" si="18"/>
        <v>14935632.583333334</v>
      </c>
      <c r="H20" s="752">
        <f t="shared" si="18"/>
        <v>14935632.583333334</v>
      </c>
      <c r="I20" s="752">
        <f t="shared" si="18"/>
        <v>14935632.583333334</v>
      </c>
      <c r="J20" s="752">
        <f t="shared" si="18"/>
        <v>14935632.583333334</v>
      </c>
      <c r="K20" s="752">
        <f t="shared" si="18"/>
        <v>14935632.583333334</v>
      </c>
      <c r="L20" s="752">
        <f t="shared" si="18"/>
        <v>14935632.583333334</v>
      </c>
      <c r="M20" s="752">
        <f t="shared" si="18"/>
        <v>14935632.583333334</v>
      </c>
      <c r="N20" s="752">
        <f t="shared" si="18"/>
        <v>14935632.583333334</v>
      </c>
      <c r="O20" s="752">
        <f t="shared" si="18"/>
        <v>14935632.583333334</v>
      </c>
      <c r="P20" s="752">
        <f t="shared" si="2"/>
        <v>179227591.00000003</v>
      </c>
      <c r="Q20" s="11">
        <f t="shared" si="16"/>
        <v>10416.666666666666</v>
      </c>
      <c r="R20" s="83">
        <v>125000</v>
      </c>
      <c r="S20" s="6">
        <f t="shared" si="4"/>
        <v>0</v>
      </c>
    </row>
    <row r="21" spans="1:19" ht="14.1" customHeight="1" x14ac:dyDescent="0.25">
      <c r="A21" s="650" t="s">
        <v>58</v>
      </c>
      <c r="B21" s="634" t="s">
        <v>101</v>
      </c>
      <c r="C21" s="676">
        <f>'2020. 1.bevkiadfőössz. '!O56</f>
        <v>0</v>
      </c>
      <c r="D21" s="752">
        <f>+$C$21/12</f>
        <v>0</v>
      </c>
      <c r="E21" s="752">
        <f t="shared" ref="E21:O21" si="19">+$C$21/12</f>
        <v>0</v>
      </c>
      <c r="F21" s="752">
        <f t="shared" si="19"/>
        <v>0</v>
      </c>
      <c r="G21" s="752">
        <f t="shared" si="19"/>
        <v>0</v>
      </c>
      <c r="H21" s="752">
        <f t="shared" si="19"/>
        <v>0</v>
      </c>
      <c r="I21" s="752">
        <f t="shared" si="19"/>
        <v>0</v>
      </c>
      <c r="J21" s="752">
        <f t="shared" si="19"/>
        <v>0</v>
      </c>
      <c r="K21" s="752">
        <f t="shared" si="19"/>
        <v>0</v>
      </c>
      <c r="L21" s="752">
        <f t="shared" si="19"/>
        <v>0</v>
      </c>
      <c r="M21" s="752">
        <f t="shared" si="19"/>
        <v>0</v>
      </c>
      <c r="N21" s="752">
        <f t="shared" si="19"/>
        <v>0</v>
      </c>
      <c r="O21" s="752">
        <f t="shared" si="19"/>
        <v>0</v>
      </c>
      <c r="P21" s="752">
        <f t="shared" si="2"/>
        <v>0</v>
      </c>
      <c r="Q21" s="11">
        <f t="shared" si="16"/>
        <v>0</v>
      </c>
      <c r="R21" s="83">
        <v>0</v>
      </c>
      <c r="S21" s="6">
        <f t="shared" si="4"/>
        <v>0</v>
      </c>
    </row>
    <row r="22" spans="1:19" ht="14.1" customHeight="1" x14ac:dyDescent="0.25">
      <c r="A22" s="637" t="s">
        <v>13</v>
      </c>
      <c r="B22" s="638" t="s">
        <v>102</v>
      </c>
      <c r="C22" s="676">
        <f>'2020. 1.bevkiadfőössz. '!O57</f>
        <v>4170785043</v>
      </c>
      <c r="D22" s="752">
        <f>+$C$22/12</f>
        <v>347565420.25</v>
      </c>
      <c r="E22" s="752">
        <f t="shared" ref="E22:O22" si="20">+$C$22/12</f>
        <v>347565420.25</v>
      </c>
      <c r="F22" s="752">
        <f t="shared" si="20"/>
        <v>347565420.25</v>
      </c>
      <c r="G22" s="752">
        <f t="shared" si="20"/>
        <v>347565420.25</v>
      </c>
      <c r="H22" s="752">
        <f t="shared" si="20"/>
        <v>347565420.25</v>
      </c>
      <c r="I22" s="752">
        <f t="shared" si="20"/>
        <v>347565420.25</v>
      </c>
      <c r="J22" s="752">
        <f t="shared" si="20"/>
        <v>347565420.25</v>
      </c>
      <c r="K22" s="752">
        <f t="shared" si="20"/>
        <v>347565420.25</v>
      </c>
      <c r="L22" s="752">
        <f t="shared" si="20"/>
        <v>347565420.25</v>
      </c>
      <c r="M22" s="752">
        <f t="shared" si="20"/>
        <v>347565420.25</v>
      </c>
      <c r="N22" s="752">
        <f t="shared" si="20"/>
        <v>347565420.25</v>
      </c>
      <c r="O22" s="752">
        <f t="shared" si="20"/>
        <v>347565420.25</v>
      </c>
      <c r="P22" s="752">
        <f t="shared" si="2"/>
        <v>4170785043</v>
      </c>
      <c r="Q22" s="11">
        <f t="shared" si="16"/>
        <v>346564.16666666669</v>
      </c>
      <c r="R22" s="83">
        <v>4158770</v>
      </c>
      <c r="S22" s="6">
        <f t="shared" si="4"/>
        <v>0</v>
      </c>
    </row>
    <row r="23" spans="1:19" ht="14.1" customHeight="1" x14ac:dyDescent="0.25">
      <c r="A23" s="650" t="s">
        <v>14</v>
      </c>
      <c r="B23" s="634" t="s">
        <v>358</v>
      </c>
      <c r="C23" s="676">
        <f>'2020. 1.bevkiadfőössz. '!O58</f>
        <v>77976000</v>
      </c>
      <c r="D23" s="752">
        <f>+$C$23/12</f>
        <v>6498000</v>
      </c>
      <c r="E23" s="752">
        <f t="shared" ref="E23:O23" si="21">+$C$23/12</f>
        <v>6498000</v>
      </c>
      <c r="F23" s="752">
        <f t="shared" si="21"/>
        <v>6498000</v>
      </c>
      <c r="G23" s="752">
        <f t="shared" si="21"/>
        <v>6498000</v>
      </c>
      <c r="H23" s="752">
        <f t="shared" si="21"/>
        <v>6498000</v>
      </c>
      <c r="I23" s="752">
        <f t="shared" si="21"/>
        <v>6498000</v>
      </c>
      <c r="J23" s="752">
        <f t="shared" si="21"/>
        <v>6498000</v>
      </c>
      <c r="K23" s="752">
        <f t="shared" si="21"/>
        <v>6498000</v>
      </c>
      <c r="L23" s="752">
        <f t="shared" si="21"/>
        <v>6498000</v>
      </c>
      <c r="M23" s="752">
        <f t="shared" si="21"/>
        <v>6498000</v>
      </c>
      <c r="N23" s="752">
        <f t="shared" si="21"/>
        <v>6498000</v>
      </c>
      <c r="O23" s="752">
        <f t="shared" si="21"/>
        <v>6498000</v>
      </c>
      <c r="P23" s="752">
        <f t="shared" si="2"/>
        <v>77976000</v>
      </c>
      <c r="Q23" s="11">
        <f t="shared" si="16"/>
        <v>3846</v>
      </c>
      <c r="R23" s="83">
        <v>46152</v>
      </c>
      <c r="S23" s="6">
        <f t="shared" si="4"/>
        <v>0</v>
      </c>
    </row>
    <row r="24" spans="1:19" s="106" customFormat="1" ht="14.1" customHeight="1" x14ac:dyDescent="0.25">
      <c r="A24" s="650" t="s">
        <v>15</v>
      </c>
      <c r="B24" s="634" t="s">
        <v>359</v>
      </c>
      <c r="C24" s="676">
        <f>'2020. 1.bevkiadfőössz. '!O59</f>
        <v>350000000</v>
      </c>
      <c r="D24" s="752">
        <f>+$C$24/12</f>
        <v>29166666.666666668</v>
      </c>
      <c r="E24" s="752">
        <f t="shared" ref="E24:O24" si="22">+$C$24/12</f>
        <v>29166666.666666668</v>
      </c>
      <c r="F24" s="752">
        <f t="shared" si="22"/>
        <v>29166666.666666668</v>
      </c>
      <c r="G24" s="752">
        <f t="shared" si="22"/>
        <v>29166666.666666668</v>
      </c>
      <c r="H24" s="752">
        <f t="shared" si="22"/>
        <v>29166666.666666668</v>
      </c>
      <c r="I24" s="752">
        <f t="shared" si="22"/>
        <v>29166666.666666668</v>
      </c>
      <c r="J24" s="752">
        <f t="shared" si="22"/>
        <v>29166666.666666668</v>
      </c>
      <c r="K24" s="752">
        <f t="shared" si="22"/>
        <v>29166666.666666668</v>
      </c>
      <c r="L24" s="752">
        <f t="shared" si="22"/>
        <v>29166666.666666668</v>
      </c>
      <c r="M24" s="752">
        <f t="shared" si="22"/>
        <v>29166666.666666668</v>
      </c>
      <c r="N24" s="752">
        <f t="shared" si="22"/>
        <v>29166666.666666668</v>
      </c>
      <c r="O24" s="752">
        <f t="shared" si="22"/>
        <v>29166666.666666668</v>
      </c>
      <c r="P24" s="752">
        <f t="shared" si="2"/>
        <v>350000000</v>
      </c>
      <c r="Q24" s="11"/>
      <c r="R24" s="83"/>
      <c r="S24" s="6">
        <f t="shared" si="4"/>
        <v>0</v>
      </c>
    </row>
    <row r="25" spans="1:19" ht="14.1" customHeight="1" x14ac:dyDescent="0.25">
      <c r="A25" s="650" t="s">
        <v>16</v>
      </c>
      <c r="B25" s="634" t="s">
        <v>308</v>
      </c>
      <c r="C25" s="676">
        <f>'2020. 1.bevkiadfőössz. '!O60</f>
        <v>42636786</v>
      </c>
      <c r="D25" s="752">
        <f>+$C$25/12</f>
        <v>3553065.5</v>
      </c>
      <c r="E25" s="752">
        <f t="shared" ref="E25:O25" si="23">+$C$25/12</f>
        <v>3553065.5</v>
      </c>
      <c r="F25" s="752">
        <f t="shared" si="23"/>
        <v>3553065.5</v>
      </c>
      <c r="G25" s="752">
        <f t="shared" si="23"/>
        <v>3553065.5</v>
      </c>
      <c r="H25" s="752">
        <f t="shared" si="23"/>
        <v>3553065.5</v>
      </c>
      <c r="I25" s="752">
        <f t="shared" si="23"/>
        <v>3553065.5</v>
      </c>
      <c r="J25" s="752">
        <f t="shared" si="23"/>
        <v>3553065.5</v>
      </c>
      <c r="K25" s="752">
        <f t="shared" si="23"/>
        <v>3553065.5</v>
      </c>
      <c r="L25" s="752">
        <f t="shared" si="23"/>
        <v>3553065.5</v>
      </c>
      <c r="M25" s="752">
        <f t="shared" si="23"/>
        <v>3553065.5</v>
      </c>
      <c r="N25" s="752">
        <f t="shared" si="23"/>
        <v>3553065.5</v>
      </c>
      <c r="O25" s="752">
        <f t="shared" si="23"/>
        <v>3553065.5</v>
      </c>
      <c r="P25" s="752">
        <f t="shared" si="2"/>
        <v>42636786</v>
      </c>
      <c r="Q25" s="11">
        <f t="shared" si="16"/>
        <v>0</v>
      </c>
      <c r="R25" s="83">
        <v>0</v>
      </c>
      <c r="S25" s="6">
        <f t="shared" si="4"/>
        <v>0</v>
      </c>
    </row>
    <row r="26" spans="1:19" ht="14.1" customHeight="1" x14ac:dyDescent="0.25">
      <c r="A26" s="650" t="s">
        <v>17</v>
      </c>
      <c r="B26" s="634" t="s">
        <v>104</v>
      </c>
      <c r="C26" s="676">
        <f>'2020. 1.bevkiadfőössz. '!O61</f>
        <v>1165573000</v>
      </c>
      <c r="D26" s="752">
        <f>+$C$26/12</f>
        <v>97131083.333333328</v>
      </c>
      <c r="E26" s="752">
        <f t="shared" ref="E26:O26" si="24">+$C$26/12</f>
        <v>97131083.333333328</v>
      </c>
      <c r="F26" s="752">
        <f t="shared" si="24"/>
        <v>97131083.333333328</v>
      </c>
      <c r="G26" s="752">
        <f t="shared" si="24"/>
        <v>97131083.333333328</v>
      </c>
      <c r="H26" s="752">
        <f t="shared" si="24"/>
        <v>97131083.333333328</v>
      </c>
      <c r="I26" s="752">
        <f t="shared" si="24"/>
        <v>97131083.333333328</v>
      </c>
      <c r="J26" s="752">
        <f t="shared" si="24"/>
        <v>97131083.333333328</v>
      </c>
      <c r="K26" s="752">
        <f t="shared" si="24"/>
        <v>97131083.333333328</v>
      </c>
      <c r="L26" s="752">
        <f t="shared" si="24"/>
        <v>97131083.333333328</v>
      </c>
      <c r="M26" s="752">
        <f t="shared" si="24"/>
        <v>97131083.333333328</v>
      </c>
      <c r="N26" s="752">
        <f t="shared" si="24"/>
        <v>97131083.333333328</v>
      </c>
      <c r="O26" s="752">
        <f t="shared" si="24"/>
        <v>97131083.333333328</v>
      </c>
      <c r="P26" s="752">
        <f t="shared" si="2"/>
        <v>1165573000.0000002</v>
      </c>
      <c r="Q26" s="11">
        <f t="shared" si="16"/>
        <v>90078</v>
      </c>
      <c r="R26" s="83">
        <v>1080936</v>
      </c>
      <c r="S26" s="6">
        <f t="shared" si="4"/>
        <v>0</v>
      </c>
    </row>
    <row r="27" spans="1:19" ht="14.1" customHeight="1" x14ac:dyDescent="0.25">
      <c r="A27" s="650"/>
      <c r="B27" s="634" t="s">
        <v>212</v>
      </c>
      <c r="C27" s="676">
        <f>'2020. 1.bevkiadfőössz. '!O62</f>
        <v>1165573000</v>
      </c>
      <c r="D27" s="752">
        <f>+$C$27/12</f>
        <v>97131083.333333328</v>
      </c>
      <c r="E27" s="752">
        <f t="shared" ref="E27:O27" si="25">+$C$27/12</f>
        <v>97131083.333333328</v>
      </c>
      <c r="F27" s="752">
        <f t="shared" si="25"/>
        <v>97131083.333333328</v>
      </c>
      <c r="G27" s="752">
        <f t="shared" si="25"/>
        <v>97131083.333333328</v>
      </c>
      <c r="H27" s="752">
        <f t="shared" si="25"/>
        <v>97131083.333333328</v>
      </c>
      <c r="I27" s="752">
        <f t="shared" si="25"/>
        <v>97131083.333333328</v>
      </c>
      <c r="J27" s="752">
        <f t="shared" si="25"/>
        <v>97131083.333333328</v>
      </c>
      <c r="K27" s="752">
        <f t="shared" si="25"/>
        <v>97131083.333333328</v>
      </c>
      <c r="L27" s="752">
        <f t="shared" si="25"/>
        <v>97131083.333333328</v>
      </c>
      <c r="M27" s="752">
        <f t="shared" si="25"/>
        <v>97131083.333333328</v>
      </c>
      <c r="N27" s="752">
        <f t="shared" si="25"/>
        <v>97131083.333333328</v>
      </c>
      <c r="O27" s="752">
        <f t="shared" si="25"/>
        <v>97131083.333333328</v>
      </c>
      <c r="P27" s="752">
        <f t="shared" si="2"/>
        <v>1165573000.0000002</v>
      </c>
      <c r="Q27" s="11">
        <f t="shared" si="16"/>
        <v>90078</v>
      </c>
      <c r="R27" s="83">
        <v>1080936</v>
      </c>
      <c r="S27" s="6">
        <f t="shared" si="4"/>
        <v>0</v>
      </c>
    </row>
    <row r="28" spans="1:19" s="106" customFormat="1" ht="14.1" customHeight="1" x14ac:dyDescent="0.25">
      <c r="A28" s="996"/>
      <c r="B28" s="634" t="s">
        <v>211</v>
      </c>
      <c r="C28" s="676">
        <f>'2020. 1.bevkiadfőössz. '!O63</f>
        <v>0</v>
      </c>
      <c r="D28" s="752">
        <f>+$C$28/12</f>
        <v>0</v>
      </c>
      <c r="E28" s="752">
        <f t="shared" ref="E28:O28" si="26">+$C$28/12</f>
        <v>0</v>
      </c>
      <c r="F28" s="752">
        <f t="shared" si="26"/>
        <v>0</v>
      </c>
      <c r="G28" s="752">
        <f t="shared" si="26"/>
        <v>0</v>
      </c>
      <c r="H28" s="752">
        <f t="shared" si="26"/>
        <v>0</v>
      </c>
      <c r="I28" s="752">
        <f t="shared" si="26"/>
        <v>0</v>
      </c>
      <c r="J28" s="752">
        <f t="shared" si="26"/>
        <v>0</v>
      </c>
      <c r="K28" s="752">
        <f t="shared" si="26"/>
        <v>0</v>
      </c>
      <c r="L28" s="752">
        <f t="shared" si="26"/>
        <v>0</v>
      </c>
      <c r="M28" s="752">
        <f t="shared" si="26"/>
        <v>0</v>
      </c>
      <c r="N28" s="752">
        <f t="shared" si="26"/>
        <v>0</v>
      </c>
      <c r="O28" s="752">
        <f t="shared" si="26"/>
        <v>0</v>
      </c>
      <c r="P28" s="752">
        <f t="shared" si="2"/>
        <v>0</v>
      </c>
      <c r="Q28" s="11"/>
      <c r="R28" s="83"/>
      <c r="S28" s="6">
        <f t="shared" si="4"/>
        <v>0</v>
      </c>
    </row>
    <row r="29" spans="1:19" ht="14.1" customHeight="1" x14ac:dyDescent="0.25">
      <c r="A29" s="650" t="s">
        <v>18</v>
      </c>
      <c r="B29" s="634" t="s">
        <v>105</v>
      </c>
      <c r="C29" s="676">
        <f>'2020. 1.bevkiadfőössz. '!O64</f>
        <v>0</v>
      </c>
      <c r="D29" s="752">
        <f>+$C$29/12</f>
        <v>0</v>
      </c>
      <c r="E29" s="752">
        <f t="shared" ref="E29:O29" si="27">+$C$29/12</f>
        <v>0</v>
      </c>
      <c r="F29" s="752">
        <f t="shared" si="27"/>
        <v>0</v>
      </c>
      <c r="G29" s="752">
        <f t="shared" si="27"/>
        <v>0</v>
      </c>
      <c r="H29" s="752">
        <f t="shared" si="27"/>
        <v>0</v>
      </c>
      <c r="I29" s="752">
        <f t="shared" si="27"/>
        <v>0</v>
      </c>
      <c r="J29" s="752">
        <f t="shared" si="27"/>
        <v>0</v>
      </c>
      <c r="K29" s="752">
        <f t="shared" si="27"/>
        <v>0</v>
      </c>
      <c r="L29" s="752">
        <f t="shared" si="27"/>
        <v>0</v>
      </c>
      <c r="M29" s="752">
        <f t="shared" si="27"/>
        <v>0</v>
      </c>
      <c r="N29" s="752">
        <f t="shared" si="27"/>
        <v>0</v>
      </c>
      <c r="O29" s="752">
        <f t="shared" si="27"/>
        <v>0</v>
      </c>
      <c r="P29" s="752">
        <f t="shared" si="2"/>
        <v>0</v>
      </c>
      <c r="Q29" s="11">
        <f t="shared" si="16"/>
        <v>0</v>
      </c>
      <c r="R29" s="83">
        <v>0</v>
      </c>
      <c r="S29" s="6">
        <f t="shared" si="4"/>
        <v>0</v>
      </c>
    </row>
    <row r="30" spans="1:19" ht="14.1" customHeight="1" x14ac:dyDescent="0.25">
      <c r="A30" s="637" t="s">
        <v>19</v>
      </c>
      <c r="B30" s="638" t="s">
        <v>106</v>
      </c>
      <c r="C30" s="676">
        <f>'2020. 1.bevkiadfőössz. '!O65</f>
        <v>1636185786</v>
      </c>
      <c r="D30" s="752">
        <f>+$C$30/12</f>
        <v>136348815.5</v>
      </c>
      <c r="E30" s="752">
        <f t="shared" ref="E30:O30" si="28">+$C$30/12</f>
        <v>136348815.5</v>
      </c>
      <c r="F30" s="752">
        <f t="shared" si="28"/>
        <v>136348815.5</v>
      </c>
      <c r="G30" s="752">
        <f t="shared" si="28"/>
        <v>136348815.5</v>
      </c>
      <c r="H30" s="752">
        <f t="shared" si="28"/>
        <v>136348815.5</v>
      </c>
      <c r="I30" s="752">
        <f t="shared" si="28"/>
        <v>136348815.5</v>
      </c>
      <c r="J30" s="752">
        <f t="shared" si="28"/>
        <v>136348815.5</v>
      </c>
      <c r="K30" s="752">
        <f t="shared" si="28"/>
        <v>136348815.5</v>
      </c>
      <c r="L30" s="752">
        <f t="shared" si="28"/>
        <v>136348815.5</v>
      </c>
      <c r="M30" s="752">
        <f t="shared" si="28"/>
        <v>136348815.5</v>
      </c>
      <c r="N30" s="752">
        <f t="shared" si="28"/>
        <v>136348815.5</v>
      </c>
      <c r="O30" s="752">
        <f t="shared" si="28"/>
        <v>136348815.5</v>
      </c>
      <c r="P30" s="752">
        <f t="shared" si="2"/>
        <v>1636185786</v>
      </c>
      <c r="Q30" s="11">
        <f t="shared" si="16"/>
        <v>0</v>
      </c>
      <c r="R30" s="83">
        <v>0</v>
      </c>
      <c r="S30" s="6">
        <f t="shared" si="4"/>
        <v>0</v>
      </c>
    </row>
    <row r="31" spans="1:19" ht="26.25" customHeight="1" x14ac:dyDescent="0.25">
      <c r="A31" s="643" t="s">
        <v>20</v>
      </c>
      <c r="B31" s="644" t="s">
        <v>107</v>
      </c>
      <c r="C31" s="676">
        <f>'2020. 1.bevkiadfőössz. '!O66</f>
        <v>5806970829</v>
      </c>
      <c r="D31" s="752">
        <f>+$C$31/12</f>
        <v>483914235.75</v>
      </c>
      <c r="E31" s="752">
        <f t="shared" ref="E31:O31" si="29">+$C$31/12</f>
        <v>483914235.75</v>
      </c>
      <c r="F31" s="752">
        <f t="shared" si="29"/>
        <v>483914235.75</v>
      </c>
      <c r="G31" s="752">
        <f t="shared" si="29"/>
        <v>483914235.75</v>
      </c>
      <c r="H31" s="752">
        <f t="shared" si="29"/>
        <v>483914235.75</v>
      </c>
      <c r="I31" s="752">
        <f t="shared" si="29"/>
        <v>483914235.75</v>
      </c>
      <c r="J31" s="752">
        <f t="shared" si="29"/>
        <v>483914235.75</v>
      </c>
      <c r="K31" s="752">
        <f t="shared" si="29"/>
        <v>483914235.75</v>
      </c>
      <c r="L31" s="752">
        <f t="shared" si="29"/>
        <v>483914235.75</v>
      </c>
      <c r="M31" s="752">
        <f t="shared" si="29"/>
        <v>483914235.75</v>
      </c>
      <c r="N31" s="752">
        <f t="shared" si="29"/>
        <v>483914235.75</v>
      </c>
      <c r="O31" s="752">
        <f t="shared" si="29"/>
        <v>483914235.75</v>
      </c>
      <c r="P31" s="752">
        <f t="shared" si="2"/>
        <v>5806970829</v>
      </c>
      <c r="Q31" s="11">
        <f t="shared" si="16"/>
        <v>377520.91666666669</v>
      </c>
      <c r="R31" s="29">
        <v>4530251</v>
      </c>
      <c r="S31" s="6">
        <f t="shared" si="4"/>
        <v>0</v>
      </c>
    </row>
    <row r="32" spans="1:19" ht="14.1" customHeight="1" x14ac:dyDescent="0.25">
      <c r="A32" s="978" t="s">
        <v>21</v>
      </c>
      <c r="B32" s="988" t="s">
        <v>108</v>
      </c>
      <c r="C32" s="676">
        <f>'2020. 1.bevkiadfőössz. '!O67</f>
        <v>1165573000</v>
      </c>
      <c r="D32" s="752">
        <f>+$C$32/12</f>
        <v>97131083.333333328</v>
      </c>
      <c r="E32" s="752">
        <f t="shared" ref="E32:O32" si="30">+$C$32/12</f>
        <v>97131083.333333328</v>
      </c>
      <c r="F32" s="752">
        <f t="shared" si="30"/>
        <v>97131083.333333328</v>
      </c>
      <c r="G32" s="752">
        <f t="shared" si="30"/>
        <v>97131083.333333328</v>
      </c>
      <c r="H32" s="752">
        <f t="shared" si="30"/>
        <v>97131083.333333328</v>
      </c>
      <c r="I32" s="752">
        <f t="shared" si="30"/>
        <v>97131083.333333328</v>
      </c>
      <c r="J32" s="752">
        <f t="shared" si="30"/>
        <v>97131083.333333328</v>
      </c>
      <c r="K32" s="752">
        <f t="shared" si="30"/>
        <v>97131083.333333328</v>
      </c>
      <c r="L32" s="752">
        <f t="shared" si="30"/>
        <v>97131083.333333328</v>
      </c>
      <c r="M32" s="752">
        <f t="shared" si="30"/>
        <v>97131083.333333328</v>
      </c>
      <c r="N32" s="752">
        <f t="shared" si="30"/>
        <v>97131083.333333328</v>
      </c>
      <c r="O32" s="752">
        <f t="shared" si="30"/>
        <v>97131083.333333328</v>
      </c>
      <c r="P32" s="752">
        <f t="shared" si="2"/>
        <v>1165573000.0000002</v>
      </c>
      <c r="Q32" s="6" t="e">
        <f>+N32-#REF!</f>
        <v>#REF!</v>
      </c>
    </row>
    <row r="33" spans="1:17" ht="14.1" customHeight="1" x14ac:dyDescent="0.25">
      <c r="A33" s="978" t="s">
        <v>22</v>
      </c>
      <c r="B33" s="988" t="s">
        <v>211</v>
      </c>
      <c r="C33" s="676">
        <f>'2020. 1.bevkiadfőössz. '!O68</f>
        <v>0</v>
      </c>
      <c r="D33" s="752">
        <f>+$C$33/12</f>
        <v>0</v>
      </c>
      <c r="E33" s="752">
        <f t="shared" ref="E33:O33" si="31">+$C$33/12</f>
        <v>0</v>
      </c>
      <c r="F33" s="752">
        <f t="shared" si="31"/>
        <v>0</v>
      </c>
      <c r="G33" s="752">
        <f t="shared" si="31"/>
        <v>0</v>
      </c>
      <c r="H33" s="752">
        <f t="shared" si="31"/>
        <v>0</v>
      </c>
      <c r="I33" s="752">
        <f t="shared" si="31"/>
        <v>0</v>
      </c>
      <c r="J33" s="752">
        <f t="shared" si="31"/>
        <v>0</v>
      </c>
      <c r="K33" s="752">
        <f t="shared" si="31"/>
        <v>0</v>
      </c>
      <c r="L33" s="752">
        <f t="shared" si="31"/>
        <v>0</v>
      </c>
      <c r="M33" s="752">
        <f t="shared" si="31"/>
        <v>0</v>
      </c>
      <c r="N33" s="752">
        <f t="shared" si="31"/>
        <v>0</v>
      </c>
      <c r="O33" s="752">
        <f t="shared" si="31"/>
        <v>0</v>
      </c>
      <c r="P33" s="752">
        <f t="shared" si="2"/>
        <v>0</v>
      </c>
      <c r="Q33" s="6" t="e">
        <f>+N33-#REF!</f>
        <v>#REF!</v>
      </c>
    </row>
    <row r="34" spans="1:17" ht="14.1" customHeight="1" x14ac:dyDescent="0.25">
      <c r="A34" s="979" t="s">
        <v>23</v>
      </c>
      <c r="B34" s="997" t="s">
        <v>63</v>
      </c>
      <c r="C34" s="676">
        <f>'2020. 1.bevkiadfőössz. '!O69</f>
        <v>4641397829</v>
      </c>
      <c r="D34" s="752">
        <f>+$C$34/12</f>
        <v>386783152.41666669</v>
      </c>
      <c r="E34" s="752">
        <f t="shared" ref="E34:O34" si="32">+$C$34/12</f>
        <v>386783152.41666669</v>
      </c>
      <c r="F34" s="752">
        <f t="shared" si="32"/>
        <v>386783152.41666669</v>
      </c>
      <c r="G34" s="752">
        <f t="shared" si="32"/>
        <v>386783152.41666669</v>
      </c>
      <c r="H34" s="752">
        <f t="shared" si="32"/>
        <v>386783152.41666669</v>
      </c>
      <c r="I34" s="752">
        <f t="shared" si="32"/>
        <v>386783152.41666669</v>
      </c>
      <c r="J34" s="752">
        <f t="shared" si="32"/>
        <v>386783152.41666669</v>
      </c>
      <c r="K34" s="752">
        <f t="shared" si="32"/>
        <v>386783152.41666669</v>
      </c>
      <c r="L34" s="752">
        <f t="shared" si="32"/>
        <v>386783152.41666669</v>
      </c>
      <c r="M34" s="752">
        <f t="shared" si="32"/>
        <v>386783152.41666669</v>
      </c>
      <c r="N34" s="752">
        <f t="shared" si="32"/>
        <v>386783152.41666669</v>
      </c>
      <c r="O34" s="752">
        <f t="shared" si="32"/>
        <v>386783152.41666669</v>
      </c>
      <c r="P34" s="752">
        <f t="shared" si="2"/>
        <v>4641397828.999999</v>
      </c>
      <c r="Q34" s="6" t="e">
        <f>+N34-#REF!</f>
        <v>#REF!</v>
      </c>
    </row>
    <row r="35" spans="1:17" ht="14.1" customHeight="1" x14ac:dyDescent="0.25">
      <c r="A35" s="13"/>
      <c r="B35" s="1082" t="s">
        <v>180</v>
      </c>
      <c r="C35" s="14"/>
      <c r="D35" s="14">
        <f>+D34</f>
        <v>386783152.41666669</v>
      </c>
      <c r="E35" s="14">
        <f>+D35+E34</f>
        <v>773566304.83333337</v>
      </c>
      <c r="F35" s="14">
        <f t="shared" ref="F35:O35" si="33">+E35+F34</f>
        <v>1160349457.25</v>
      </c>
      <c r="G35" s="14">
        <f t="shared" si="33"/>
        <v>1547132609.6666667</v>
      </c>
      <c r="H35" s="14">
        <f t="shared" si="33"/>
        <v>1933915762.0833335</v>
      </c>
      <c r="I35" s="14">
        <f t="shared" si="33"/>
        <v>2320698914.5</v>
      </c>
      <c r="J35" s="14">
        <f t="shared" si="33"/>
        <v>2707482066.9166665</v>
      </c>
      <c r="K35" s="14">
        <f t="shared" si="33"/>
        <v>3094265219.333333</v>
      </c>
      <c r="L35" s="14">
        <f t="shared" si="33"/>
        <v>3481048371.7499995</v>
      </c>
      <c r="M35" s="14">
        <f t="shared" si="33"/>
        <v>3867831524.166666</v>
      </c>
      <c r="N35" s="14">
        <f t="shared" si="33"/>
        <v>4254614676.5833325</v>
      </c>
      <c r="O35" s="14">
        <f t="shared" si="33"/>
        <v>4641397828.999999</v>
      </c>
      <c r="P35" s="1"/>
    </row>
    <row r="36" spans="1:17" x14ac:dyDescent="0.25">
      <c r="A36" s="60"/>
      <c r="B36" s="2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7" x14ac:dyDescent="0.25">
      <c r="A37" s="60"/>
      <c r="B37" s="2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7" x14ac:dyDescent="0.25">
      <c r="A38" s="60"/>
      <c r="B38" s="2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7" x14ac:dyDescent="0.25">
      <c r="A39" s="60"/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7" x14ac:dyDescent="0.25">
      <c r="A40" s="60"/>
      <c r="B40" s="2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7" s="78" customFormat="1" x14ac:dyDescent="0.25">
      <c r="A41" s="60"/>
      <c r="B41" s="2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7" x14ac:dyDescent="0.25">
      <c r="A42" s="60"/>
      <c r="B42" s="36"/>
    </row>
    <row r="43" spans="1:17" ht="21" customHeight="1" x14ac:dyDescent="0.25">
      <c r="A43" s="60"/>
      <c r="B43" s="20"/>
    </row>
    <row r="44" spans="1:17" x14ac:dyDescent="0.25">
      <c r="A44" s="60"/>
      <c r="B44" s="20"/>
    </row>
  </sheetData>
  <mergeCells count="4">
    <mergeCell ref="O4:P4"/>
    <mergeCell ref="M1:P1"/>
    <mergeCell ref="C3:P3"/>
    <mergeCell ref="A2:P2"/>
  </mergeCells>
  <phoneticPr fontId="3" type="noConversion"/>
  <printOptions horizontalCentered="1"/>
  <pageMargins left="0.27559055118110237" right="0.19685039370078741" top="0.39370078740157483" bottom="0.39370078740157483" header="0.31496062992125984" footer="0.31496062992125984"/>
  <pageSetup paperSize="9" scale="77" orientation="landscape" r:id="rId1"/>
  <headerFooter>
    <oddFooter xml:space="preserve">&amp;R&amp;P/&amp;N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9"/>
  <sheetViews>
    <sheetView view="pageBreakPreview" zoomScaleNormal="100" zoomScaleSheetLayoutView="100" workbookViewId="0">
      <selection activeCell="K41" sqref="K41"/>
    </sheetView>
  </sheetViews>
  <sheetFormatPr defaultColWidth="8.85546875" defaultRowHeight="12.75" x14ac:dyDescent="0.2"/>
  <cols>
    <col min="1" max="1" width="8" style="508" customWidth="1"/>
    <col min="2" max="2" width="45.140625" style="508" customWidth="1"/>
    <col min="3" max="6" width="13.7109375" style="508" customWidth="1"/>
    <col min="7" max="7" width="19.42578125" style="508" customWidth="1"/>
    <col min="8" max="8" width="9.28515625" style="508" customWidth="1"/>
    <col min="9" max="9" width="15.85546875" style="508" customWidth="1"/>
    <col min="10" max="10" width="14.28515625" style="508" customWidth="1"/>
    <col min="11" max="11" width="11.28515625" style="508" customWidth="1"/>
    <col min="12" max="12" width="10.140625" style="508" bestFit="1" customWidth="1"/>
    <col min="13" max="13" width="11.140625" style="508" bestFit="1" customWidth="1"/>
    <col min="14" max="14" width="9.7109375" style="508" bestFit="1" customWidth="1"/>
    <col min="15" max="16384" width="8.85546875" style="508"/>
  </cols>
  <sheetData>
    <row r="1" spans="1:14" ht="42" customHeight="1" x14ac:dyDescent="0.2">
      <c r="C1" s="813"/>
      <c r="D1" s="813"/>
      <c r="E1" s="813"/>
      <c r="F1" s="1164" t="s">
        <v>646</v>
      </c>
      <c r="G1" s="1164"/>
      <c r="H1" s="814"/>
    </row>
    <row r="2" spans="1:14" ht="24.75" customHeight="1" x14ac:dyDescent="0.2">
      <c r="A2" s="1168" t="s">
        <v>645</v>
      </c>
      <c r="B2" s="1168"/>
      <c r="C2" s="1168"/>
      <c r="D2" s="1168"/>
      <c r="E2" s="1168"/>
      <c r="F2" s="1168"/>
      <c r="G2" s="1168"/>
      <c r="H2" s="814"/>
    </row>
    <row r="4" spans="1:14" x14ac:dyDescent="0.2">
      <c r="C4" s="1167" t="s">
        <v>348</v>
      </c>
      <c r="D4" s="1167"/>
      <c r="E4" s="1167" t="s">
        <v>425</v>
      </c>
      <c r="F4" s="1167"/>
    </row>
    <row r="5" spans="1:14" x14ac:dyDescent="0.2">
      <c r="A5" s="815"/>
      <c r="B5" s="816" t="s">
        <v>31</v>
      </c>
      <c r="C5" s="816" t="s">
        <v>423</v>
      </c>
      <c r="D5" s="816" t="s">
        <v>422</v>
      </c>
      <c r="E5" s="816" t="s">
        <v>423</v>
      </c>
      <c r="F5" s="816" t="s">
        <v>422</v>
      </c>
      <c r="G5" s="816" t="s">
        <v>350</v>
      </c>
      <c r="I5" s="906" t="s">
        <v>614</v>
      </c>
    </row>
    <row r="6" spans="1:14" x14ac:dyDescent="0.2">
      <c r="A6" s="1165" t="s">
        <v>424</v>
      </c>
      <c r="B6" s="1165"/>
      <c r="C6" s="816"/>
      <c r="D6" s="816"/>
      <c r="E6" s="816"/>
      <c r="F6" s="816"/>
      <c r="G6" s="816"/>
    </row>
    <row r="7" spans="1:14" ht="25.5" x14ac:dyDescent="0.2">
      <c r="A7" s="817" t="s">
        <v>218</v>
      </c>
      <c r="B7" s="818" t="s">
        <v>579</v>
      </c>
      <c r="C7" s="819">
        <v>378849000</v>
      </c>
      <c r="D7" s="820"/>
      <c r="E7" s="819">
        <f>+C7</f>
        <v>378849000</v>
      </c>
      <c r="F7" s="821"/>
      <c r="G7" s="522"/>
      <c r="I7" s="784">
        <f>+C7*0.27</f>
        <v>102289230</v>
      </c>
      <c r="J7" s="784">
        <f>+C7+I7</f>
        <v>481138230</v>
      </c>
    </row>
    <row r="8" spans="1:14" x14ac:dyDescent="0.2">
      <c r="A8" s="822" t="s">
        <v>316</v>
      </c>
      <c r="B8" s="823" t="s">
        <v>574</v>
      </c>
      <c r="C8" s="824">
        <v>28000000</v>
      </c>
      <c r="D8" s="825"/>
      <c r="E8" s="824">
        <f>+C8</f>
        <v>28000000</v>
      </c>
      <c r="F8" s="826"/>
      <c r="G8" s="827"/>
    </row>
    <row r="9" spans="1:14" x14ac:dyDescent="0.2">
      <c r="A9" s="822" t="s">
        <v>219</v>
      </c>
      <c r="B9" s="823" t="s">
        <v>654</v>
      </c>
      <c r="C9" s="819">
        <v>137356000</v>
      </c>
      <c r="D9" s="825"/>
      <c r="E9" s="819">
        <f>+C9</f>
        <v>137356000</v>
      </c>
      <c r="F9" s="826"/>
      <c r="G9" s="827"/>
    </row>
    <row r="10" spans="1:14" x14ac:dyDescent="0.2">
      <c r="A10" s="817" t="s">
        <v>201</v>
      </c>
      <c r="B10" s="823" t="s">
        <v>580</v>
      </c>
      <c r="C10" s="819">
        <f>215300000</f>
        <v>215300000</v>
      </c>
      <c r="D10" s="820"/>
      <c r="E10" s="819">
        <f>+C10-10977245</f>
        <v>204322755</v>
      </c>
      <c r="F10" s="821"/>
      <c r="G10" s="522" t="s">
        <v>651</v>
      </c>
      <c r="I10" s="784">
        <f>+C10*0.27</f>
        <v>58131000.000000007</v>
      </c>
      <c r="J10" s="784">
        <f>+I10+C10</f>
        <v>273431000</v>
      </c>
      <c r="K10" s="784">
        <v>247495256</v>
      </c>
      <c r="L10" s="784">
        <f>+J10-K10</f>
        <v>25935744</v>
      </c>
      <c r="M10" s="784">
        <f>+L10/1.27</f>
        <v>20421845.66929134</v>
      </c>
      <c r="N10" s="784">
        <f>+L10-M10</f>
        <v>5513898.3307086602</v>
      </c>
    </row>
    <row r="11" spans="1:14" s="914" customFormat="1" x14ac:dyDescent="0.2">
      <c r="A11" s="910" t="s">
        <v>320</v>
      </c>
      <c r="B11" s="911" t="s">
        <v>575</v>
      </c>
      <c r="C11" s="912">
        <v>20301000</v>
      </c>
      <c r="D11" s="828"/>
      <c r="E11" s="912">
        <v>0</v>
      </c>
      <c r="F11" s="828"/>
      <c r="G11" s="913" t="s">
        <v>650</v>
      </c>
      <c r="J11" s="915"/>
      <c r="K11" s="915">
        <f>+K10/1.27</f>
        <v>194878154.33070865</v>
      </c>
      <c r="L11" s="915">
        <f>+K11-C10</f>
        <v>-20421845.669291347</v>
      </c>
    </row>
    <row r="12" spans="1:14" x14ac:dyDescent="0.2">
      <c r="A12" s="817" t="s">
        <v>202</v>
      </c>
      <c r="B12" s="823" t="s">
        <v>653</v>
      </c>
      <c r="C12" s="819">
        <v>157480000</v>
      </c>
      <c r="D12" s="820"/>
      <c r="E12" s="819">
        <f>+C12</f>
        <v>157480000</v>
      </c>
      <c r="F12" s="828"/>
      <c r="G12" s="522"/>
      <c r="I12" s="784">
        <f t="shared" ref="I12" si="0">+C12*0.27</f>
        <v>42519600</v>
      </c>
      <c r="J12" s="784">
        <f>+I12+C12</f>
        <v>199999600</v>
      </c>
    </row>
    <row r="13" spans="1:14" ht="13.5" x14ac:dyDescent="0.2">
      <c r="A13" s="829" t="s">
        <v>220</v>
      </c>
      <c r="B13" s="823" t="s">
        <v>578</v>
      </c>
      <c r="C13" s="824">
        <v>10000000</v>
      </c>
      <c r="D13" s="825"/>
      <c r="E13" s="824">
        <f>+C13</f>
        <v>10000000</v>
      </c>
      <c r="F13" s="830"/>
      <c r="G13" s="816"/>
    </row>
    <row r="14" spans="1:14" ht="15.75" customHeight="1" x14ac:dyDescent="0.2">
      <c r="A14" s="817" t="s">
        <v>322</v>
      </c>
      <c r="B14" s="831" t="s">
        <v>576</v>
      </c>
      <c r="C14" s="819">
        <v>2540000</v>
      </c>
      <c r="D14" s="820"/>
      <c r="E14" s="819">
        <f>+C14</f>
        <v>2540000</v>
      </c>
      <c r="F14" s="828"/>
      <c r="G14" s="522"/>
    </row>
    <row r="15" spans="1:14" x14ac:dyDescent="0.2">
      <c r="A15" s="817" t="s">
        <v>208</v>
      </c>
      <c r="B15" s="832" t="s">
        <v>649</v>
      </c>
      <c r="C15" s="833">
        <v>0</v>
      </c>
      <c r="D15" s="820"/>
      <c r="E15" s="819">
        <v>56138298</v>
      </c>
      <c r="F15" s="828"/>
      <c r="G15" s="522" t="s">
        <v>652</v>
      </c>
    </row>
    <row r="16" spans="1:14" x14ac:dyDescent="0.2">
      <c r="A16" s="817" t="s">
        <v>221</v>
      </c>
      <c r="B16" s="834" t="s">
        <v>581</v>
      </c>
      <c r="C16" s="522"/>
      <c r="D16" s="819">
        <v>146360000</v>
      </c>
      <c r="E16" s="835"/>
      <c r="F16" s="819">
        <f>+D16</f>
        <v>146360000</v>
      </c>
      <c r="G16" s="836"/>
      <c r="I16" s="784">
        <f>+D16*0.27</f>
        <v>39517200</v>
      </c>
      <c r="J16" s="784">
        <f>+D16+I16</f>
        <v>185877200</v>
      </c>
    </row>
    <row r="17" spans="1:14" x14ac:dyDescent="0.2">
      <c r="A17" s="817" t="s">
        <v>245</v>
      </c>
      <c r="B17" s="831" t="s">
        <v>577</v>
      </c>
      <c r="C17" s="522"/>
      <c r="D17" s="824">
        <v>29186000</v>
      </c>
      <c r="E17" s="835"/>
      <c r="F17" s="824">
        <f>+D17</f>
        <v>29186000</v>
      </c>
      <c r="G17" s="836"/>
    </row>
    <row r="18" spans="1:14" x14ac:dyDescent="0.2">
      <c r="A18" s="817" t="s">
        <v>270</v>
      </c>
      <c r="B18" s="834"/>
      <c r="C18" s="820"/>
      <c r="D18" s="820"/>
      <c r="E18" s="828"/>
      <c r="F18" s="828"/>
      <c r="G18" s="522"/>
    </row>
    <row r="19" spans="1:14" x14ac:dyDescent="0.2">
      <c r="A19" s="837"/>
      <c r="B19" s="837" t="s">
        <v>186</v>
      </c>
      <c r="C19" s="838">
        <f>SUM(C7:C18)</f>
        <v>949826000</v>
      </c>
      <c r="D19" s="838">
        <f>SUM(D7:D18)</f>
        <v>175546000</v>
      </c>
      <c r="E19" s="838">
        <f>SUM(E7:E18)</f>
        <v>974686053</v>
      </c>
      <c r="F19" s="838">
        <f>SUM(F7:F18)</f>
        <v>175546000</v>
      </c>
      <c r="G19" s="837"/>
      <c r="I19" s="784">
        <f>SUM(I7:I18)</f>
        <v>242457030</v>
      </c>
      <c r="J19" s="784">
        <f>SUM(J7:J18)</f>
        <v>1140446030</v>
      </c>
    </row>
    <row r="20" spans="1:14" x14ac:dyDescent="0.2">
      <c r="A20" s="837"/>
      <c r="B20" s="837"/>
      <c r="C20" s="838"/>
      <c r="D20" s="838">
        <f>+D19+C19</f>
        <v>1125372000</v>
      </c>
      <c r="E20" s="838"/>
      <c r="F20" s="838">
        <f>+F19+E19</f>
        <v>1150232053</v>
      </c>
      <c r="G20" s="838"/>
      <c r="I20" s="784">
        <v>69458994</v>
      </c>
    </row>
    <row r="21" spans="1:14" x14ac:dyDescent="0.2">
      <c r="A21" s="1166"/>
      <c r="B21" s="1166"/>
      <c r="C21" s="908"/>
      <c r="D21" s="909"/>
      <c r="E21" s="909"/>
      <c r="F21" s="909"/>
      <c r="G21" s="907"/>
      <c r="I21" s="784">
        <f>+I19+I20</f>
        <v>311916024</v>
      </c>
      <c r="K21" s="784">
        <v>289497000</v>
      </c>
      <c r="L21" s="784">
        <f>+I21-K21</f>
        <v>22419024</v>
      </c>
      <c r="M21" s="784">
        <f>+L21-N10</f>
        <v>16905125.66929134</v>
      </c>
      <c r="N21" s="784">
        <f>+M10-M21</f>
        <v>3516720</v>
      </c>
    </row>
    <row r="22" spans="1:14" x14ac:dyDescent="0.2">
      <c r="E22" s="784"/>
      <c r="F22" s="784"/>
      <c r="G22" s="907"/>
    </row>
    <row r="23" spans="1:14" hidden="1" x14ac:dyDescent="0.2">
      <c r="B23" s="794" t="s">
        <v>407</v>
      </c>
      <c r="G23" s="784"/>
    </row>
    <row r="24" spans="1:14" ht="25.5" hidden="1" x14ac:dyDescent="0.2">
      <c r="A24" s="815"/>
      <c r="B24" s="816" t="s">
        <v>31</v>
      </c>
      <c r="C24" s="816" t="s">
        <v>315</v>
      </c>
      <c r="D24" s="816"/>
      <c r="E24" s="816" t="s">
        <v>315</v>
      </c>
      <c r="F24" s="816"/>
      <c r="G24" s="816" t="s">
        <v>350</v>
      </c>
    </row>
    <row r="25" spans="1:14" hidden="1" x14ac:dyDescent="0.2">
      <c r="A25" s="822" t="s">
        <v>316</v>
      </c>
      <c r="B25" s="840" t="s">
        <v>317</v>
      </c>
      <c r="C25" s="839">
        <v>138269000</v>
      </c>
      <c r="D25" s="839"/>
      <c r="E25" s="839">
        <v>138269000</v>
      </c>
      <c r="F25" s="839"/>
      <c r="G25" s="827" t="s">
        <v>403</v>
      </c>
    </row>
    <row r="26" spans="1:14" hidden="1" x14ac:dyDescent="0.2">
      <c r="A26" s="822" t="s">
        <v>219</v>
      </c>
      <c r="B26" s="840" t="s">
        <v>318</v>
      </c>
      <c r="C26" s="839">
        <v>27630000</v>
      </c>
      <c r="D26" s="839"/>
      <c r="E26" s="839">
        <v>27630000</v>
      </c>
      <c r="F26" s="839"/>
      <c r="G26" s="827" t="s">
        <v>403</v>
      </c>
    </row>
    <row r="27" spans="1:14" ht="40.5" hidden="1" x14ac:dyDescent="0.2">
      <c r="A27" s="829" t="s">
        <v>404</v>
      </c>
      <c r="B27" s="841" t="s">
        <v>405</v>
      </c>
      <c r="C27" s="839">
        <v>139100000</v>
      </c>
      <c r="D27" s="839"/>
      <c r="E27" s="839">
        <v>139100000</v>
      </c>
      <c r="F27" s="839"/>
      <c r="G27" s="827" t="s">
        <v>403</v>
      </c>
    </row>
    <row r="28" spans="1:14" hidden="1" x14ac:dyDescent="0.2">
      <c r="A28" s="817" t="s">
        <v>272</v>
      </c>
      <c r="B28" s="842" t="s">
        <v>406</v>
      </c>
      <c r="C28" s="839">
        <v>45001000</v>
      </c>
      <c r="D28" s="839"/>
      <c r="E28" s="839">
        <v>45001000</v>
      </c>
      <c r="F28" s="839"/>
      <c r="G28" s="827" t="s">
        <v>403</v>
      </c>
    </row>
    <row r="29" spans="1:14" hidden="1" x14ac:dyDescent="0.2">
      <c r="A29" s="794"/>
      <c r="B29" s="794"/>
      <c r="C29" s="803">
        <f>SUM(C25:C28)</f>
        <v>350000000</v>
      </c>
      <c r="D29" s="803">
        <f t="shared" ref="D29:F29" si="1">SUM(D25:D28)</f>
        <v>0</v>
      </c>
      <c r="E29" s="803">
        <f t="shared" si="1"/>
        <v>350000000</v>
      </c>
      <c r="F29" s="803">
        <f t="shared" si="1"/>
        <v>0</v>
      </c>
      <c r="G29" s="794"/>
    </row>
    <row r="38" spans="1:6" x14ac:dyDescent="0.2">
      <c r="B38" s="526"/>
      <c r="C38" s="526"/>
      <c r="D38" s="526"/>
      <c r="E38" s="526"/>
      <c r="F38" s="526"/>
    </row>
    <row r="39" spans="1:6" x14ac:dyDescent="0.2">
      <c r="A39" s="526"/>
    </row>
  </sheetData>
  <mergeCells count="6">
    <mergeCell ref="F1:G1"/>
    <mergeCell ref="A6:B6"/>
    <mergeCell ref="A21:B21"/>
    <mergeCell ref="C4:D4"/>
    <mergeCell ref="E4:F4"/>
    <mergeCell ref="A2:G2"/>
  </mergeCells>
  <phoneticPr fontId="31" type="noConversion"/>
  <printOptions horizontalCentered="1"/>
  <pageMargins left="0.17" right="0.17" top="0.44" bottom="0.74803149606299213" header="0.31496062992125984" footer="0.31496062992125984"/>
  <pageSetup paperSize="9" scale="79" orientation="portrait" r:id="rId1"/>
  <colBreaks count="1" manualBreakCount="1">
    <brk id="8" max="2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22"/>
  <sheetViews>
    <sheetView view="pageBreakPreview" zoomScaleNormal="100" zoomScaleSheetLayoutView="100" workbookViewId="0">
      <selection activeCell="W19" sqref="W19"/>
    </sheetView>
  </sheetViews>
  <sheetFormatPr defaultRowHeight="15" x14ac:dyDescent="0.25"/>
  <cols>
    <col min="2" max="2" width="32.7109375" customWidth="1"/>
    <col min="3" max="3" width="17.85546875" customWidth="1"/>
    <col min="4" max="4" width="15.28515625" customWidth="1"/>
    <col min="5" max="5" width="15.140625" customWidth="1"/>
    <col min="6" max="6" width="10.28515625" bestFit="1" customWidth="1"/>
    <col min="7" max="9" width="9.42578125" bestFit="1" customWidth="1"/>
    <col min="10" max="10" width="11.85546875" customWidth="1"/>
    <col min="11" max="11" width="10" bestFit="1" customWidth="1"/>
    <col min="15" max="15" width="11.140625" customWidth="1"/>
  </cols>
  <sheetData>
    <row r="1" spans="1:15" x14ac:dyDescent="0.25">
      <c r="B1" s="106" t="s">
        <v>416</v>
      </c>
      <c r="K1" s="1169" t="s">
        <v>413</v>
      </c>
      <c r="L1" s="1169"/>
      <c r="M1" s="1170"/>
      <c r="N1" s="1170"/>
    </row>
    <row r="2" spans="1:15" x14ac:dyDescent="0.25">
      <c r="C2" s="326"/>
      <c r="D2" s="326" t="s">
        <v>388</v>
      </c>
      <c r="E2" s="326"/>
      <c r="F2" s="326"/>
      <c r="G2" s="326"/>
      <c r="K2" s="1170"/>
      <c r="L2" s="1170"/>
      <c r="M2" s="1170"/>
      <c r="N2" s="1170"/>
    </row>
    <row r="3" spans="1:15" ht="15.75" thickBot="1" x14ac:dyDescent="0.3"/>
    <row r="4" spans="1:15" x14ac:dyDescent="0.25">
      <c r="A4" s="1173" t="s">
        <v>365</v>
      </c>
      <c r="B4" s="1175" t="s">
        <v>366</v>
      </c>
      <c r="C4" s="1175" t="s">
        <v>367</v>
      </c>
      <c r="D4" s="1175" t="s">
        <v>368</v>
      </c>
      <c r="E4" s="1175" t="s">
        <v>394</v>
      </c>
      <c r="F4" s="244" t="s">
        <v>369</v>
      </c>
      <c r="G4" s="245"/>
      <c r="H4" s="245"/>
      <c r="I4" s="245"/>
      <c r="J4" s="1171" t="s">
        <v>370</v>
      </c>
      <c r="K4" s="245" t="s">
        <v>401</v>
      </c>
      <c r="L4" s="245"/>
      <c r="M4" s="245"/>
      <c r="N4" s="246"/>
      <c r="O4" s="1171" t="s">
        <v>370</v>
      </c>
    </row>
    <row r="5" spans="1:15" ht="15.75" thickBot="1" x14ac:dyDescent="0.3">
      <c r="A5" s="1174"/>
      <c r="B5" s="1176"/>
      <c r="C5" s="1177"/>
      <c r="D5" s="1176"/>
      <c r="E5" s="1176"/>
      <c r="F5" s="247">
        <v>2021</v>
      </c>
      <c r="G5" s="248">
        <v>2022</v>
      </c>
      <c r="H5" s="248">
        <v>2023</v>
      </c>
      <c r="I5" s="287">
        <v>2024</v>
      </c>
      <c r="J5" s="1172"/>
      <c r="K5" s="288">
        <v>2021</v>
      </c>
      <c r="L5" s="285">
        <v>2022</v>
      </c>
      <c r="M5" s="285">
        <v>2023</v>
      </c>
      <c r="N5" s="286">
        <v>2024</v>
      </c>
      <c r="O5" s="1172"/>
    </row>
    <row r="6" spans="1:15" ht="15.75" thickBot="1" x14ac:dyDescent="0.3">
      <c r="A6" s="249" t="s">
        <v>371</v>
      </c>
      <c r="B6" s="250" t="s">
        <v>372</v>
      </c>
      <c r="C6" s="251" t="s">
        <v>373</v>
      </c>
      <c r="D6" s="251" t="s">
        <v>374</v>
      </c>
      <c r="E6" s="251" t="s">
        <v>375</v>
      </c>
      <c r="F6" s="251" t="s">
        <v>376</v>
      </c>
      <c r="G6" s="251" t="s">
        <v>377</v>
      </c>
      <c r="H6" s="251" t="s">
        <v>378</v>
      </c>
      <c r="I6" s="251" t="s">
        <v>379</v>
      </c>
      <c r="J6" s="289" t="s">
        <v>380</v>
      </c>
      <c r="K6" s="303" t="s">
        <v>397</v>
      </c>
      <c r="L6" s="290" t="s">
        <v>398</v>
      </c>
      <c r="M6" s="290" t="s">
        <v>399</v>
      </c>
      <c r="N6" s="290" t="s">
        <v>400</v>
      </c>
      <c r="O6" s="289" t="s">
        <v>402</v>
      </c>
    </row>
    <row r="7" spans="1:15" ht="24" x14ac:dyDescent="0.25">
      <c r="A7" s="252" t="s">
        <v>11</v>
      </c>
      <c r="B7" s="253" t="s">
        <v>381</v>
      </c>
      <c r="C7" s="254"/>
      <c r="D7" s="255">
        <f t="shared" ref="D7:I7" si="0">SUM(D8:D9)</f>
        <v>0</v>
      </c>
      <c r="E7" s="255">
        <f t="shared" si="0"/>
        <v>0</v>
      </c>
      <c r="F7" s="255">
        <f t="shared" si="0"/>
        <v>0</v>
      </c>
      <c r="G7" s="255">
        <f t="shared" si="0"/>
        <v>0</v>
      </c>
      <c r="H7" s="255">
        <f t="shared" si="0"/>
        <v>0</v>
      </c>
      <c r="I7" s="256">
        <f t="shared" si="0"/>
        <v>0</v>
      </c>
      <c r="J7" s="295">
        <f t="shared" ref="J7:J21" si="1">SUM(F7:I7)</f>
        <v>0</v>
      </c>
      <c r="K7" s="300"/>
      <c r="L7" s="301"/>
      <c r="M7" s="301"/>
      <c r="N7" s="301"/>
      <c r="O7" s="302">
        <f t="shared" ref="O7:O21" si="2">SUM(K7:N7)</f>
        <v>0</v>
      </c>
    </row>
    <row r="8" spans="1:15" x14ac:dyDescent="0.25">
      <c r="A8" s="257" t="s">
        <v>12</v>
      </c>
      <c r="B8" s="258" t="s">
        <v>382</v>
      </c>
      <c r="C8" s="259"/>
      <c r="D8" s="260"/>
      <c r="E8" s="260"/>
      <c r="F8" s="260"/>
      <c r="G8" s="260"/>
      <c r="H8" s="260"/>
      <c r="I8" s="261"/>
      <c r="J8" s="296">
        <f t="shared" si="1"/>
        <v>0</v>
      </c>
      <c r="K8" s="293"/>
      <c r="L8" s="284"/>
      <c r="M8" s="284"/>
      <c r="N8" s="284"/>
      <c r="O8" s="271">
        <f t="shared" si="2"/>
        <v>0</v>
      </c>
    </row>
    <row r="9" spans="1:15" x14ac:dyDescent="0.25">
      <c r="A9" s="257" t="s">
        <v>13</v>
      </c>
      <c r="B9" s="258" t="s">
        <v>382</v>
      </c>
      <c r="C9" s="259"/>
      <c r="D9" s="260"/>
      <c r="E9" s="260"/>
      <c r="F9" s="260"/>
      <c r="G9" s="260"/>
      <c r="H9" s="260"/>
      <c r="I9" s="261"/>
      <c r="J9" s="296">
        <f t="shared" si="1"/>
        <v>0</v>
      </c>
      <c r="K9" s="293"/>
      <c r="L9" s="284"/>
      <c r="M9" s="284"/>
      <c r="N9" s="284"/>
      <c r="O9" s="271">
        <f t="shared" si="2"/>
        <v>0</v>
      </c>
    </row>
    <row r="10" spans="1:15" ht="24" x14ac:dyDescent="0.25">
      <c r="A10" s="257" t="s">
        <v>14</v>
      </c>
      <c r="B10" s="262" t="s">
        <v>383</v>
      </c>
      <c r="C10" s="263"/>
      <c r="D10" s="264">
        <f t="shared" ref="D10:I10" si="3">SUM(D11:D12)</f>
        <v>0</v>
      </c>
      <c r="E10" s="264">
        <f t="shared" si="3"/>
        <v>58944590</v>
      </c>
      <c r="F10" s="264">
        <f t="shared" si="3"/>
        <v>95604896</v>
      </c>
      <c r="G10" s="264">
        <f t="shared" si="3"/>
        <v>93932013</v>
      </c>
      <c r="H10" s="264">
        <f t="shared" si="3"/>
        <v>92259129</v>
      </c>
      <c r="I10" s="265">
        <f t="shared" si="3"/>
        <v>90586246</v>
      </c>
      <c r="J10" s="297">
        <f t="shared" si="1"/>
        <v>372382284</v>
      </c>
      <c r="K10" s="293"/>
      <c r="L10" s="284"/>
      <c r="M10" s="284"/>
      <c r="N10" s="284"/>
      <c r="O10" s="271">
        <f t="shared" si="2"/>
        <v>0</v>
      </c>
    </row>
    <row r="11" spans="1:15" x14ac:dyDescent="0.25">
      <c r="A11" s="257" t="s">
        <v>15</v>
      </c>
      <c r="B11" s="258" t="s">
        <v>390</v>
      </c>
      <c r="C11" s="259" t="s">
        <v>391</v>
      </c>
      <c r="D11" s="260"/>
      <c r="E11" s="260">
        <v>58944590</v>
      </c>
      <c r="F11" s="260">
        <v>95604896</v>
      </c>
      <c r="G11" s="260">
        <v>93932013</v>
      </c>
      <c r="H11" s="260">
        <v>92259129</v>
      </c>
      <c r="I11" s="261">
        <v>90586246</v>
      </c>
      <c r="J11" s="296">
        <f t="shared" si="1"/>
        <v>372382284</v>
      </c>
      <c r="K11" s="293"/>
      <c r="L11" s="284"/>
      <c r="M11" s="284"/>
      <c r="N11" s="284"/>
      <c r="O11" s="271">
        <f t="shared" si="2"/>
        <v>0</v>
      </c>
    </row>
    <row r="12" spans="1:15" x14ac:dyDescent="0.25">
      <c r="A12" s="257" t="s">
        <v>16</v>
      </c>
      <c r="B12" s="258" t="s">
        <v>382</v>
      </c>
      <c r="C12" s="259"/>
      <c r="D12" s="260"/>
      <c r="E12" s="260"/>
      <c r="F12" s="260"/>
      <c r="G12" s="260"/>
      <c r="H12" s="260"/>
      <c r="I12" s="261"/>
      <c r="J12" s="296">
        <f t="shared" si="1"/>
        <v>0</v>
      </c>
      <c r="K12" s="293"/>
      <c r="L12" s="284"/>
      <c r="M12" s="284"/>
      <c r="N12" s="284"/>
      <c r="O12" s="271">
        <f t="shared" si="2"/>
        <v>0</v>
      </c>
    </row>
    <row r="13" spans="1:15" x14ac:dyDescent="0.25">
      <c r="A13" s="257" t="s">
        <v>17</v>
      </c>
      <c r="B13" s="262" t="s">
        <v>384</v>
      </c>
      <c r="C13" s="263"/>
      <c r="D13" s="264">
        <f>SUM(D14:D17)</f>
        <v>924267363</v>
      </c>
      <c r="E13" s="264">
        <f t="shared" ref="E13:I13" si="4">SUM(E14:E14)</f>
        <v>106406000</v>
      </c>
      <c r="F13" s="264">
        <f>SUM(F14:F17)</f>
        <v>717261363</v>
      </c>
      <c r="G13" s="264">
        <f t="shared" si="4"/>
        <v>0</v>
      </c>
      <c r="H13" s="264">
        <f t="shared" si="4"/>
        <v>0</v>
      </c>
      <c r="I13" s="265">
        <f t="shared" si="4"/>
        <v>0</v>
      </c>
      <c r="J13" s="297">
        <f t="shared" si="1"/>
        <v>717261363</v>
      </c>
      <c r="K13" s="294">
        <f>SUM(K14:K17)</f>
        <v>243640300</v>
      </c>
      <c r="L13" s="264">
        <f t="shared" ref="L13:N13" si="5">SUM(L14:L14)</f>
        <v>0</v>
      </c>
      <c r="M13" s="264">
        <f t="shared" si="5"/>
        <v>0</v>
      </c>
      <c r="N13" s="264">
        <f t="shared" si="5"/>
        <v>0</v>
      </c>
      <c r="O13" s="291">
        <f t="shared" si="2"/>
        <v>243640300</v>
      </c>
    </row>
    <row r="14" spans="1:15" ht="24.75" thickBot="1" x14ac:dyDescent="0.3">
      <c r="A14" s="277" t="s">
        <v>18</v>
      </c>
      <c r="B14" s="266" t="s">
        <v>389</v>
      </c>
      <c r="C14" s="278">
        <v>2020</v>
      </c>
      <c r="D14" s="279">
        <v>633050363</v>
      </c>
      <c r="E14" s="279">
        <v>106406000</v>
      </c>
      <c r="F14" s="279">
        <v>526644363</v>
      </c>
      <c r="G14" s="279"/>
      <c r="H14" s="279"/>
      <c r="I14" s="280"/>
      <c r="J14" s="298">
        <f t="shared" si="1"/>
        <v>526644363</v>
      </c>
      <c r="K14" s="293">
        <v>120000000</v>
      </c>
      <c r="L14" s="284"/>
      <c r="M14" s="284"/>
      <c r="N14" s="284"/>
      <c r="O14" s="271">
        <f t="shared" si="2"/>
        <v>120000000</v>
      </c>
    </row>
    <row r="15" spans="1:15" s="106" customFormat="1" x14ac:dyDescent="0.25">
      <c r="A15" s="252" t="s">
        <v>19</v>
      </c>
      <c r="B15" s="283" t="s">
        <v>393</v>
      </c>
      <c r="C15" s="259">
        <v>2018</v>
      </c>
      <c r="D15" s="260">
        <v>250000000</v>
      </c>
      <c r="E15" s="260">
        <v>101600000</v>
      </c>
      <c r="F15" s="260">
        <v>149400000</v>
      </c>
      <c r="G15" s="260"/>
      <c r="H15" s="260"/>
      <c r="I15" s="261"/>
      <c r="J15" s="296">
        <f t="shared" si="1"/>
        <v>149400000</v>
      </c>
      <c r="K15" s="293">
        <v>100000000</v>
      </c>
      <c r="L15" s="284"/>
      <c r="M15" s="284"/>
      <c r="N15" s="284"/>
      <c r="O15" s="271">
        <f t="shared" si="2"/>
        <v>100000000</v>
      </c>
    </row>
    <row r="16" spans="1:15" s="106" customFormat="1" x14ac:dyDescent="0.25">
      <c r="A16" s="257" t="s">
        <v>20</v>
      </c>
      <c r="B16" s="283" t="s">
        <v>396</v>
      </c>
      <c r="C16" s="259">
        <v>2018</v>
      </c>
      <c r="D16" s="260">
        <v>26267000</v>
      </c>
      <c r="E16" s="260">
        <v>0</v>
      </c>
      <c r="F16" s="260">
        <v>26267000</v>
      </c>
      <c r="G16" s="260"/>
      <c r="H16" s="260"/>
      <c r="I16" s="261"/>
      <c r="J16" s="296">
        <f t="shared" si="1"/>
        <v>26267000</v>
      </c>
      <c r="K16" s="293">
        <f>+J16*0.9</f>
        <v>23640300</v>
      </c>
      <c r="L16" s="284"/>
      <c r="M16" s="284"/>
      <c r="N16" s="284"/>
      <c r="O16" s="271">
        <f t="shared" si="2"/>
        <v>23640300</v>
      </c>
    </row>
    <row r="17" spans="1:15" ht="60" x14ac:dyDescent="0.25">
      <c r="A17" s="257" t="s">
        <v>21</v>
      </c>
      <c r="B17" s="266" t="s">
        <v>395</v>
      </c>
      <c r="C17" s="259">
        <v>2020</v>
      </c>
      <c r="D17" s="281">
        <v>14950000</v>
      </c>
      <c r="E17" s="281">
        <v>0</v>
      </c>
      <c r="F17" s="281">
        <v>14950000</v>
      </c>
      <c r="G17" s="281"/>
      <c r="H17" s="281"/>
      <c r="I17" s="282"/>
      <c r="J17" s="299">
        <f t="shared" si="1"/>
        <v>14950000</v>
      </c>
      <c r="K17" s="293"/>
      <c r="L17" s="284"/>
      <c r="M17" s="284"/>
      <c r="N17" s="284"/>
      <c r="O17" s="271">
        <f t="shared" si="2"/>
        <v>0</v>
      </c>
    </row>
    <row r="18" spans="1:15" x14ac:dyDescent="0.25">
      <c r="A18" s="257" t="s">
        <v>22</v>
      </c>
      <c r="B18" s="262" t="s">
        <v>385</v>
      </c>
      <c r="C18" s="263"/>
      <c r="D18" s="264"/>
      <c r="E18" s="264"/>
      <c r="F18" s="264"/>
      <c r="G18" s="264"/>
      <c r="H18" s="264"/>
      <c r="I18" s="265"/>
      <c r="J18" s="296">
        <f t="shared" si="1"/>
        <v>0</v>
      </c>
      <c r="K18" s="293"/>
      <c r="L18" s="284"/>
      <c r="M18" s="284"/>
      <c r="N18" s="284"/>
      <c r="O18" s="271">
        <f t="shared" si="2"/>
        <v>0</v>
      </c>
    </row>
    <row r="19" spans="1:15" x14ac:dyDescent="0.25">
      <c r="A19" s="257" t="s">
        <v>23</v>
      </c>
      <c r="B19" s="258" t="s">
        <v>382</v>
      </c>
      <c r="C19" s="259"/>
      <c r="D19" s="260"/>
      <c r="E19" s="260"/>
      <c r="F19" s="260"/>
      <c r="G19" s="260"/>
      <c r="H19" s="260"/>
      <c r="I19" s="261"/>
      <c r="J19" s="296">
        <f t="shared" si="1"/>
        <v>0</v>
      </c>
      <c r="K19" s="293"/>
      <c r="L19" s="284"/>
      <c r="M19" s="284"/>
      <c r="N19" s="284"/>
      <c r="O19" s="271">
        <f t="shared" si="2"/>
        <v>0</v>
      </c>
    </row>
    <row r="20" spans="1:15" x14ac:dyDescent="0.25">
      <c r="A20" s="257" t="s">
        <v>24</v>
      </c>
      <c r="B20" s="267" t="s">
        <v>386</v>
      </c>
      <c r="C20" s="268"/>
      <c r="D20" s="269"/>
      <c r="E20" s="269"/>
      <c r="F20" s="269"/>
      <c r="G20" s="269"/>
      <c r="H20" s="269"/>
      <c r="I20" s="270"/>
      <c r="J20" s="296">
        <f t="shared" si="1"/>
        <v>0</v>
      </c>
      <c r="K20" s="293"/>
      <c r="L20" s="284"/>
      <c r="M20" s="284"/>
      <c r="N20" s="284"/>
      <c r="O20" s="271">
        <f t="shared" si="2"/>
        <v>0</v>
      </c>
    </row>
    <row r="21" spans="1:15" ht="15.75" thickBot="1" x14ac:dyDescent="0.3">
      <c r="A21" s="257" t="s">
        <v>25</v>
      </c>
      <c r="B21" s="266" t="s">
        <v>392</v>
      </c>
      <c r="C21" s="264">
        <v>2020</v>
      </c>
      <c r="D21" s="264">
        <v>1600000</v>
      </c>
      <c r="E21" s="264"/>
      <c r="F21" s="264">
        <v>1600000</v>
      </c>
      <c r="G21" s="264"/>
      <c r="H21" s="264"/>
      <c r="I21" s="265"/>
      <c r="J21" s="296">
        <f t="shared" si="1"/>
        <v>1600000</v>
      </c>
      <c r="K21" s="293"/>
      <c r="L21" s="284"/>
      <c r="M21" s="284"/>
      <c r="N21" s="284"/>
      <c r="O21" s="271">
        <f t="shared" si="2"/>
        <v>0</v>
      </c>
    </row>
    <row r="22" spans="1:15" ht="15.75" thickBot="1" x14ac:dyDescent="0.3">
      <c r="A22" s="272" t="s">
        <v>26</v>
      </c>
      <c r="B22" s="273" t="s">
        <v>387</v>
      </c>
      <c r="C22" s="274"/>
      <c r="D22" s="275">
        <f t="shared" ref="D22:O22" si="6">D7+D10+D13+D18+D20</f>
        <v>924267363</v>
      </c>
      <c r="E22" s="275">
        <f t="shared" si="6"/>
        <v>165350590</v>
      </c>
      <c r="F22" s="275">
        <f t="shared" si="6"/>
        <v>812866259</v>
      </c>
      <c r="G22" s="275">
        <f t="shared" si="6"/>
        <v>93932013</v>
      </c>
      <c r="H22" s="275">
        <f t="shared" si="6"/>
        <v>92259129</v>
      </c>
      <c r="I22" s="276">
        <f t="shared" si="6"/>
        <v>90586246</v>
      </c>
      <c r="J22" s="292">
        <f t="shared" si="6"/>
        <v>1089643647</v>
      </c>
      <c r="K22" s="275">
        <f t="shared" si="6"/>
        <v>243640300</v>
      </c>
      <c r="L22" s="275">
        <f t="shared" si="6"/>
        <v>0</v>
      </c>
      <c r="M22" s="275">
        <f t="shared" si="6"/>
        <v>0</v>
      </c>
      <c r="N22" s="276">
        <f t="shared" si="6"/>
        <v>0</v>
      </c>
      <c r="O22" s="292">
        <f t="shared" si="6"/>
        <v>243640300</v>
      </c>
    </row>
  </sheetData>
  <mergeCells count="8">
    <mergeCell ref="K1:N2"/>
    <mergeCell ref="O4:O5"/>
    <mergeCell ref="A4:A5"/>
    <mergeCell ref="B4:B5"/>
    <mergeCell ref="C4:C5"/>
    <mergeCell ref="D4:D5"/>
    <mergeCell ref="E4:E5"/>
    <mergeCell ref="J4:J5"/>
  </mergeCells>
  <phoneticPr fontId="31" type="noConversion"/>
  <pageMargins left="0.7" right="0.7" top="0.75" bottom="0.75" header="0.3" footer="0.3"/>
  <pageSetup paperSize="9"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-0.249977111117893"/>
  </sheetPr>
  <dimension ref="A1:O29"/>
  <sheetViews>
    <sheetView workbookViewId="0">
      <selection activeCell="C5" sqref="C5:N14"/>
    </sheetView>
  </sheetViews>
  <sheetFormatPr defaultColWidth="9.28515625" defaultRowHeight="15.75" x14ac:dyDescent="0.25"/>
  <cols>
    <col min="1" max="1" width="4.7109375" style="475" customWidth="1"/>
    <col min="2" max="2" width="29.7109375" style="470" customWidth="1"/>
    <col min="3" max="4" width="9" style="470" customWidth="1"/>
    <col min="5" max="5" width="9.42578125" style="470" customWidth="1"/>
    <col min="6" max="8" width="8.7109375" style="470" customWidth="1"/>
    <col min="9" max="9" width="8.42578125" style="470" customWidth="1"/>
    <col min="10" max="14" width="9.42578125" style="470" customWidth="1"/>
    <col min="15" max="15" width="12.7109375" style="475" customWidth="1"/>
    <col min="16" max="256" width="9.28515625" style="470"/>
    <col min="257" max="257" width="4.7109375" style="470" customWidth="1"/>
    <col min="258" max="258" width="29.7109375" style="470" customWidth="1"/>
    <col min="259" max="260" width="9" style="470" customWidth="1"/>
    <col min="261" max="261" width="9.42578125" style="470" customWidth="1"/>
    <col min="262" max="264" width="8.7109375" style="470" customWidth="1"/>
    <col min="265" max="265" width="8.42578125" style="470" customWidth="1"/>
    <col min="266" max="270" width="9.42578125" style="470" customWidth="1"/>
    <col min="271" max="271" width="12.7109375" style="470" customWidth="1"/>
    <col min="272" max="512" width="9.28515625" style="470"/>
    <col min="513" max="513" width="4.7109375" style="470" customWidth="1"/>
    <col min="514" max="514" width="29.7109375" style="470" customWidth="1"/>
    <col min="515" max="516" width="9" style="470" customWidth="1"/>
    <col min="517" max="517" width="9.42578125" style="470" customWidth="1"/>
    <col min="518" max="520" width="8.7109375" style="470" customWidth="1"/>
    <col min="521" max="521" width="8.42578125" style="470" customWidth="1"/>
    <col min="522" max="526" width="9.42578125" style="470" customWidth="1"/>
    <col min="527" max="527" width="12.7109375" style="470" customWidth="1"/>
    <col min="528" max="768" width="9.28515625" style="470"/>
    <col min="769" max="769" width="4.7109375" style="470" customWidth="1"/>
    <col min="770" max="770" width="29.7109375" style="470" customWidth="1"/>
    <col min="771" max="772" width="9" style="470" customWidth="1"/>
    <col min="773" max="773" width="9.42578125" style="470" customWidth="1"/>
    <col min="774" max="776" width="8.7109375" style="470" customWidth="1"/>
    <col min="777" max="777" width="8.42578125" style="470" customWidth="1"/>
    <col min="778" max="782" width="9.42578125" style="470" customWidth="1"/>
    <col min="783" max="783" width="12.7109375" style="470" customWidth="1"/>
    <col min="784" max="1024" width="9.28515625" style="470"/>
    <col min="1025" max="1025" width="4.7109375" style="470" customWidth="1"/>
    <col min="1026" max="1026" width="29.7109375" style="470" customWidth="1"/>
    <col min="1027" max="1028" width="9" style="470" customWidth="1"/>
    <col min="1029" max="1029" width="9.42578125" style="470" customWidth="1"/>
    <col min="1030" max="1032" width="8.7109375" style="470" customWidth="1"/>
    <col min="1033" max="1033" width="8.42578125" style="470" customWidth="1"/>
    <col min="1034" max="1038" width="9.42578125" style="470" customWidth="1"/>
    <col min="1039" max="1039" width="12.7109375" style="470" customWidth="1"/>
    <col min="1040" max="1280" width="9.28515625" style="470"/>
    <col min="1281" max="1281" width="4.7109375" style="470" customWidth="1"/>
    <col min="1282" max="1282" width="29.7109375" style="470" customWidth="1"/>
    <col min="1283" max="1284" width="9" style="470" customWidth="1"/>
    <col min="1285" max="1285" width="9.42578125" style="470" customWidth="1"/>
    <col min="1286" max="1288" width="8.7109375" style="470" customWidth="1"/>
    <col min="1289" max="1289" width="8.42578125" style="470" customWidth="1"/>
    <col min="1290" max="1294" width="9.42578125" style="470" customWidth="1"/>
    <col min="1295" max="1295" width="12.7109375" style="470" customWidth="1"/>
    <col min="1296" max="1536" width="9.28515625" style="470"/>
    <col min="1537" max="1537" width="4.7109375" style="470" customWidth="1"/>
    <col min="1538" max="1538" width="29.7109375" style="470" customWidth="1"/>
    <col min="1539" max="1540" width="9" style="470" customWidth="1"/>
    <col min="1541" max="1541" width="9.42578125" style="470" customWidth="1"/>
    <col min="1542" max="1544" width="8.7109375" style="470" customWidth="1"/>
    <col min="1545" max="1545" width="8.42578125" style="470" customWidth="1"/>
    <col min="1546" max="1550" width="9.42578125" style="470" customWidth="1"/>
    <col min="1551" max="1551" width="12.7109375" style="470" customWidth="1"/>
    <col min="1552" max="1792" width="9.28515625" style="470"/>
    <col min="1793" max="1793" width="4.7109375" style="470" customWidth="1"/>
    <col min="1794" max="1794" width="29.7109375" style="470" customWidth="1"/>
    <col min="1795" max="1796" width="9" style="470" customWidth="1"/>
    <col min="1797" max="1797" width="9.42578125" style="470" customWidth="1"/>
    <col min="1798" max="1800" width="8.7109375" style="470" customWidth="1"/>
    <col min="1801" max="1801" width="8.42578125" style="470" customWidth="1"/>
    <col min="1802" max="1806" width="9.42578125" style="470" customWidth="1"/>
    <col min="1807" max="1807" width="12.7109375" style="470" customWidth="1"/>
    <col min="1808" max="2048" width="9.28515625" style="470"/>
    <col min="2049" max="2049" width="4.7109375" style="470" customWidth="1"/>
    <col min="2050" max="2050" width="29.7109375" style="470" customWidth="1"/>
    <col min="2051" max="2052" width="9" style="470" customWidth="1"/>
    <col min="2053" max="2053" width="9.42578125" style="470" customWidth="1"/>
    <col min="2054" max="2056" width="8.7109375" style="470" customWidth="1"/>
    <col min="2057" max="2057" width="8.42578125" style="470" customWidth="1"/>
    <col min="2058" max="2062" width="9.42578125" style="470" customWidth="1"/>
    <col min="2063" max="2063" width="12.7109375" style="470" customWidth="1"/>
    <col min="2064" max="2304" width="9.28515625" style="470"/>
    <col min="2305" max="2305" width="4.7109375" style="470" customWidth="1"/>
    <col min="2306" max="2306" width="29.7109375" style="470" customWidth="1"/>
    <col min="2307" max="2308" width="9" style="470" customWidth="1"/>
    <col min="2309" max="2309" width="9.42578125" style="470" customWidth="1"/>
    <col min="2310" max="2312" width="8.7109375" style="470" customWidth="1"/>
    <col min="2313" max="2313" width="8.42578125" style="470" customWidth="1"/>
    <col min="2314" max="2318" width="9.42578125" style="470" customWidth="1"/>
    <col min="2319" max="2319" width="12.7109375" style="470" customWidth="1"/>
    <col min="2320" max="2560" width="9.28515625" style="470"/>
    <col min="2561" max="2561" width="4.7109375" style="470" customWidth="1"/>
    <col min="2562" max="2562" width="29.7109375" style="470" customWidth="1"/>
    <col min="2563" max="2564" width="9" style="470" customWidth="1"/>
    <col min="2565" max="2565" width="9.42578125" style="470" customWidth="1"/>
    <col min="2566" max="2568" width="8.7109375" style="470" customWidth="1"/>
    <col min="2569" max="2569" width="8.42578125" style="470" customWidth="1"/>
    <col min="2570" max="2574" width="9.42578125" style="470" customWidth="1"/>
    <col min="2575" max="2575" width="12.7109375" style="470" customWidth="1"/>
    <col min="2576" max="2816" width="9.28515625" style="470"/>
    <col min="2817" max="2817" width="4.7109375" style="470" customWidth="1"/>
    <col min="2818" max="2818" width="29.7109375" style="470" customWidth="1"/>
    <col min="2819" max="2820" width="9" style="470" customWidth="1"/>
    <col min="2821" max="2821" width="9.42578125" style="470" customWidth="1"/>
    <col min="2822" max="2824" width="8.7109375" style="470" customWidth="1"/>
    <col min="2825" max="2825" width="8.42578125" style="470" customWidth="1"/>
    <col min="2826" max="2830" width="9.42578125" style="470" customWidth="1"/>
    <col min="2831" max="2831" width="12.7109375" style="470" customWidth="1"/>
    <col min="2832" max="3072" width="9.28515625" style="470"/>
    <col min="3073" max="3073" width="4.7109375" style="470" customWidth="1"/>
    <col min="3074" max="3074" width="29.7109375" style="470" customWidth="1"/>
    <col min="3075" max="3076" width="9" style="470" customWidth="1"/>
    <col min="3077" max="3077" width="9.42578125" style="470" customWidth="1"/>
    <col min="3078" max="3080" width="8.7109375" style="470" customWidth="1"/>
    <col min="3081" max="3081" width="8.42578125" style="470" customWidth="1"/>
    <col min="3082" max="3086" width="9.42578125" style="470" customWidth="1"/>
    <col min="3087" max="3087" width="12.7109375" style="470" customWidth="1"/>
    <col min="3088" max="3328" width="9.28515625" style="470"/>
    <col min="3329" max="3329" width="4.7109375" style="470" customWidth="1"/>
    <col min="3330" max="3330" width="29.7109375" style="470" customWidth="1"/>
    <col min="3331" max="3332" width="9" style="470" customWidth="1"/>
    <col min="3333" max="3333" width="9.42578125" style="470" customWidth="1"/>
    <col min="3334" max="3336" width="8.7109375" style="470" customWidth="1"/>
    <col min="3337" max="3337" width="8.42578125" style="470" customWidth="1"/>
    <col min="3338" max="3342" width="9.42578125" style="470" customWidth="1"/>
    <col min="3343" max="3343" width="12.7109375" style="470" customWidth="1"/>
    <col min="3344" max="3584" width="9.28515625" style="470"/>
    <col min="3585" max="3585" width="4.7109375" style="470" customWidth="1"/>
    <col min="3586" max="3586" width="29.7109375" style="470" customWidth="1"/>
    <col min="3587" max="3588" width="9" style="470" customWidth="1"/>
    <col min="3589" max="3589" width="9.42578125" style="470" customWidth="1"/>
    <col min="3590" max="3592" width="8.7109375" style="470" customWidth="1"/>
    <col min="3593" max="3593" width="8.42578125" style="470" customWidth="1"/>
    <col min="3594" max="3598" width="9.42578125" style="470" customWidth="1"/>
    <col min="3599" max="3599" width="12.7109375" style="470" customWidth="1"/>
    <col min="3600" max="3840" width="9.28515625" style="470"/>
    <col min="3841" max="3841" width="4.7109375" style="470" customWidth="1"/>
    <col min="3842" max="3842" width="29.7109375" style="470" customWidth="1"/>
    <col min="3843" max="3844" width="9" style="470" customWidth="1"/>
    <col min="3845" max="3845" width="9.42578125" style="470" customWidth="1"/>
    <col min="3846" max="3848" width="8.7109375" style="470" customWidth="1"/>
    <col min="3849" max="3849" width="8.42578125" style="470" customWidth="1"/>
    <col min="3850" max="3854" width="9.42578125" style="470" customWidth="1"/>
    <col min="3855" max="3855" width="12.7109375" style="470" customWidth="1"/>
    <col min="3856" max="4096" width="9.28515625" style="470"/>
    <col min="4097" max="4097" width="4.7109375" style="470" customWidth="1"/>
    <col min="4098" max="4098" width="29.7109375" style="470" customWidth="1"/>
    <col min="4099" max="4100" width="9" style="470" customWidth="1"/>
    <col min="4101" max="4101" width="9.42578125" style="470" customWidth="1"/>
    <col min="4102" max="4104" width="8.7109375" style="470" customWidth="1"/>
    <col min="4105" max="4105" width="8.42578125" style="470" customWidth="1"/>
    <col min="4106" max="4110" width="9.42578125" style="470" customWidth="1"/>
    <col min="4111" max="4111" width="12.7109375" style="470" customWidth="1"/>
    <col min="4112" max="4352" width="9.28515625" style="470"/>
    <col min="4353" max="4353" width="4.7109375" style="470" customWidth="1"/>
    <col min="4354" max="4354" width="29.7109375" style="470" customWidth="1"/>
    <col min="4355" max="4356" width="9" style="470" customWidth="1"/>
    <col min="4357" max="4357" width="9.42578125" style="470" customWidth="1"/>
    <col min="4358" max="4360" width="8.7109375" style="470" customWidth="1"/>
    <col min="4361" max="4361" width="8.42578125" style="470" customWidth="1"/>
    <col min="4362" max="4366" width="9.42578125" style="470" customWidth="1"/>
    <col min="4367" max="4367" width="12.7109375" style="470" customWidth="1"/>
    <col min="4368" max="4608" width="9.28515625" style="470"/>
    <col min="4609" max="4609" width="4.7109375" style="470" customWidth="1"/>
    <col min="4610" max="4610" width="29.7109375" style="470" customWidth="1"/>
    <col min="4611" max="4612" width="9" style="470" customWidth="1"/>
    <col min="4613" max="4613" width="9.42578125" style="470" customWidth="1"/>
    <col min="4614" max="4616" width="8.7109375" style="470" customWidth="1"/>
    <col min="4617" max="4617" width="8.42578125" style="470" customWidth="1"/>
    <col min="4618" max="4622" width="9.42578125" style="470" customWidth="1"/>
    <col min="4623" max="4623" width="12.7109375" style="470" customWidth="1"/>
    <col min="4624" max="4864" width="9.28515625" style="470"/>
    <col min="4865" max="4865" width="4.7109375" style="470" customWidth="1"/>
    <col min="4866" max="4866" width="29.7109375" style="470" customWidth="1"/>
    <col min="4867" max="4868" width="9" style="470" customWidth="1"/>
    <col min="4869" max="4869" width="9.42578125" style="470" customWidth="1"/>
    <col min="4870" max="4872" width="8.7109375" style="470" customWidth="1"/>
    <col min="4873" max="4873" width="8.42578125" style="470" customWidth="1"/>
    <col min="4874" max="4878" width="9.42578125" style="470" customWidth="1"/>
    <col min="4879" max="4879" width="12.7109375" style="470" customWidth="1"/>
    <col min="4880" max="5120" width="9.28515625" style="470"/>
    <col min="5121" max="5121" width="4.7109375" style="470" customWidth="1"/>
    <col min="5122" max="5122" width="29.7109375" style="470" customWidth="1"/>
    <col min="5123" max="5124" width="9" style="470" customWidth="1"/>
    <col min="5125" max="5125" width="9.42578125" style="470" customWidth="1"/>
    <col min="5126" max="5128" width="8.7109375" style="470" customWidth="1"/>
    <col min="5129" max="5129" width="8.42578125" style="470" customWidth="1"/>
    <col min="5130" max="5134" width="9.42578125" style="470" customWidth="1"/>
    <col min="5135" max="5135" width="12.7109375" style="470" customWidth="1"/>
    <col min="5136" max="5376" width="9.28515625" style="470"/>
    <col min="5377" max="5377" width="4.7109375" style="470" customWidth="1"/>
    <col min="5378" max="5378" width="29.7109375" style="470" customWidth="1"/>
    <col min="5379" max="5380" width="9" style="470" customWidth="1"/>
    <col min="5381" max="5381" width="9.42578125" style="470" customWidth="1"/>
    <col min="5382" max="5384" width="8.7109375" style="470" customWidth="1"/>
    <col min="5385" max="5385" width="8.42578125" style="470" customWidth="1"/>
    <col min="5386" max="5390" width="9.42578125" style="470" customWidth="1"/>
    <col min="5391" max="5391" width="12.7109375" style="470" customWidth="1"/>
    <col min="5392" max="5632" width="9.28515625" style="470"/>
    <col min="5633" max="5633" width="4.7109375" style="470" customWidth="1"/>
    <col min="5634" max="5634" width="29.7109375" style="470" customWidth="1"/>
    <col min="5635" max="5636" width="9" style="470" customWidth="1"/>
    <col min="5637" max="5637" width="9.42578125" style="470" customWidth="1"/>
    <col min="5638" max="5640" width="8.7109375" style="470" customWidth="1"/>
    <col min="5641" max="5641" width="8.42578125" style="470" customWidth="1"/>
    <col min="5642" max="5646" width="9.42578125" style="470" customWidth="1"/>
    <col min="5647" max="5647" width="12.7109375" style="470" customWidth="1"/>
    <col min="5648" max="5888" width="9.28515625" style="470"/>
    <col min="5889" max="5889" width="4.7109375" style="470" customWidth="1"/>
    <col min="5890" max="5890" width="29.7109375" style="470" customWidth="1"/>
    <col min="5891" max="5892" width="9" style="470" customWidth="1"/>
    <col min="5893" max="5893" width="9.42578125" style="470" customWidth="1"/>
    <col min="5894" max="5896" width="8.7109375" style="470" customWidth="1"/>
    <col min="5897" max="5897" width="8.42578125" style="470" customWidth="1"/>
    <col min="5898" max="5902" width="9.42578125" style="470" customWidth="1"/>
    <col min="5903" max="5903" width="12.7109375" style="470" customWidth="1"/>
    <col min="5904" max="6144" width="9.28515625" style="470"/>
    <col min="6145" max="6145" width="4.7109375" style="470" customWidth="1"/>
    <col min="6146" max="6146" width="29.7109375" style="470" customWidth="1"/>
    <col min="6147" max="6148" width="9" style="470" customWidth="1"/>
    <col min="6149" max="6149" width="9.42578125" style="470" customWidth="1"/>
    <col min="6150" max="6152" width="8.7109375" style="470" customWidth="1"/>
    <col min="6153" max="6153" width="8.42578125" style="470" customWidth="1"/>
    <col min="6154" max="6158" width="9.42578125" style="470" customWidth="1"/>
    <col min="6159" max="6159" width="12.7109375" style="470" customWidth="1"/>
    <col min="6160" max="6400" width="9.28515625" style="470"/>
    <col min="6401" max="6401" width="4.7109375" style="470" customWidth="1"/>
    <col min="6402" max="6402" width="29.7109375" style="470" customWidth="1"/>
    <col min="6403" max="6404" width="9" style="470" customWidth="1"/>
    <col min="6405" max="6405" width="9.42578125" style="470" customWidth="1"/>
    <col min="6406" max="6408" width="8.7109375" style="470" customWidth="1"/>
    <col min="6409" max="6409" width="8.42578125" style="470" customWidth="1"/>
    <col min="6410" max="6414" width="9.42578125" style="470" customWidth="1"/>
    <col min="6415" max="6415" width="12.7109375" style="470" customWidth="1"/>
    <col min="6416" max="6656" width="9.28515625" style="470"/>
    <col min="6657" max="6657" width="4.7109375" style="470" customWidth="1"/>
    <col min="6658" max="6658" width="29.7109375" style="470" customWidth="1"/>
    <col min="6659" max="6660" width="9" style="470" customWidth="1"/>
    <col min="6661" max="6661" width="9.42578125" style="470" customWidth="1"/>
    <col min="6662" max="6664" width="8.7109375" style="470" customWidth="1"/>
    <col min="6665" max="6665" width="8.42578125" style="470" customWidth="1"/>
    <col min="6666" max="6670" width="9.42578125" style="470" customWidth="1"/>
    <col min="6671" max="6671" width="12.7109375" style="470" customWidth="1"/>
    <col min="6672" max="6912" width="9.28515625" style="470"/>
    <col min="6913" max="6913" width="4.7109375" style="470" customWidth="1"/>
    <col min="6914" max="6914" width="29.7109375" style="470" customWidth="1"/>
    <col min="6915" max="6916" width="9" style="470" customWidth="1"/>
    <col min="6917" max="6917" width="9.42578125" style="470" customWidth="1"/>
    <col min="6918" max="6920" width="8.7109375" style="470" customWidth="1"/>
    <col min="6921" max="6921" width="8.42578125" style="470" customWidth="1"/>
    <col min="6922" max="6926" width="9.42578125" style="470" customWidth="1"/>
    <col min="6927" max="6927" width="12.7109375" style="470" customWidth="1"/>
    <col min="6928" max="7168" width="9.28515625" style="470"/>
    <col min="7169" max="7169" width="4.7109375" style="470" customWidth="1"/>
    <col min="7170" max="7170" width="29.7109375" style="470" customWidth="1"/>
    <col min="7171" max="7172" width="9" style="470" customWidth="1"/>
    <col min="7173" max="7173" width="9.42578125" style="470" customWidth="1"/>
    <col min="7174" max="7176" width="8.7109375" style="470" customWidth="1"/>
    <col min="7177" max="7177" width="8.42578125" style="470" customWidth="1"/>
    <col min="7178" max="7182" width="9.42578125" style="470" customWidth="1"/>
    <col min="7183" max="7183" width="12.7109375" style="470" customWidth="1"/>
    <col min="7184" max="7424" width="9.28515625" style="470"/>
    <col min="7425" max="7425" width="4.7109375" style="470" customWidth="1"/>
    <col min="7426" max="7426" width="29.7109375" style="470" customWidth="1"/>
    <col min="7427" max="7428" width="9" style="470" customWidth="1"/>
    <col min="7429" max="7429" width="9.42578125" style="470" customWidth="1"/>
    <col min="7430" max="7432" width="8.7109375" style="470" customWidth="1"/>
    <col min="7433" max="7433" width="8.42578125" style="470" customWidth="1"/>
    <col min="7434" max="7438" width="9.42578125" style="470" customWidth="1"/>
    <col min="7439" max="7439" width="12.7109375" style="470" customWidth="1"/>
    <col min="7440" max="7680" width="9.28515625" style="470"/>
    <col min="7681" max="7681" width="4.7109375" style="470" customWidth="1"/>
    <col min="7682" max="7682" width="29.7109375" style="470" customWidth="1"/>
    <col min="7683" max="7684" width="9" style="470" customWidth="1"/>
    <col min="7685" max="7685" width="9.42578125" style="470" customWidth="1"/>
    <col min="7686" max="7688" width="8.7109375" style="470" customWidth="1"/>
    <col min="7689" max="7689" width="8.42578125" style="470" customWidth="1"/>
    <col min="7690" max="7694" width="9.42578125" style="470" customWidth="1"/>
    <col min="7695" max="7695" width="12.7109375" style="470" customWidth="1"/>
    <col min="7696" max="7936" width="9.28515625" style="470"/>
    <col min="7937" max="7937" width="4.7109375" style="470" customWidth="1"/>
    <col min="7938" max="7938" width="29.7109375" style="470" customWidth="1"/>
    <col min="7939" max="7940" width="9" style="470" customWidth="1"/>
    <col min="7941" max="7941" width="9.42578125" style="470" customWidth="1"/>
    <col min="7942" max="7944" width="8.7109375" style="470" customWidth="1"/>
    <col min="7945" max="7945" width="8.42578125" style="470" customWidth="1"/>
    <col min="7946" max="7950" width="9.42578125" style="470" customWidth="1"/>
    <col min="7951" max="7951" width="12.7109375" style="470" customWidth="1"/>
    <col min="7952" max="8192" width="9.28515625" style="470"/>
    <col min="8193" max="8193" width="4.7109375" style="470" customWidth="1"/>
    <col min="8194" max="8194" width="29.7109375" style="470" customWidth="1"/>
    <col min="8195" max="8196" width="9" style="470" customWidth="1"/>
    <col min="8197" max="8197" width="9.42578125" style="470" customWidth="1"/>
    <col min="8198" max="8200" width="8.7109375" style="470" customWidth="1"/>
    <col min="8201" max="8201" width="8.42578125" style="470" customWidth="1"/>
    <col min="8202" max="8206" width="9.42578125" style="470" customWidth="1"/>
    <col min="8207" max="8207" width="12.7109375" style="470" customWidth="1"/>
    <col min="8208" max="8448" width="9.28515625" style="470"/>
    <col min="8449" max="8449" width="4.7109375" style="470" customWidth="1"/>
    <col min="8450" max="8450" width="29.7109375" style="470" customWidth="1"/>
    <col min="8451" max="8452" width="9" style="470" customWidth="1"/>
    <col min="8453" max="8453" width="9.42578125" style="470" customWidth="1"/>
    <col min="8454" max="8456" width="8.7109375" style="470" customWidth="1"/>
    <col min="8457" max="8457" width="8.42578125" style="470" customWidth="1"/>
    <col min="8458" max="8462" width="9.42578125" style="470" customWidth="1"/>
    <col min="8463" max="8463" width="12.7109375" style="470" customWidth="1"/>
    <col min="8464" max="8704" width="9.28515625" style="470"/>
    <col min="8705" max="8705" width="4.7109375" style="470" customWidth="1"/>
    <col min="8706" max="8706" width="29.7109375" style="470" customWidth="1"/>
    <col min="8707" max="8708" width="9" style="470" customWidth="1"/>
    <col min="8709" max="8709" width="9.42578125" style="470" customWidth="1"/>
    <col min="8710" max="8712" width="8.7109375" style="470" customWidth="1"/>
    <col min="8713" max="8713" width="8.42578125" style="470" customWidth="1"/>
    <col min="8714" max="8718" width="9.42578125" style="470" customWidth="1"/>
    <col min="8719" max="8719" width="12.7109375" style="470" customWidth="1"/>
    <col min="8720" max="8960" width="9.28515625" style="470"/>
    <col min="8961" max="8961" width="4.7109375" style="470" customWidth="1"/>
    <col min="8962" max="8962" width="29.7109375" style="470" customWidth="1"/>
    <col min="8963" max="8964" width="9" style="470" customWidth="1"/>
    <col min="8965" max="8965" width="9.42578125" style="470" customWidth="1"/>
    <col min="8966" max="8968" width="8.7109375" style="470" customWidth="1"/>
    <col min="8969" max="8969" width="8.42578125" style="470" customWidth="1"/>
    <col min="8970" max="8974" width="9.42578125" style="470" customWidth="1"/>
    <col min="8975" max="8975" width="12.7109375" style="470" customWidth="1"/>
    <col min="8976" max="9216" width="9.28515625" style="470"/>
    <col min="9217" max="9217" width="4.7109375" style="470" customWidth="1"/>
    <col min="9218" max="9218" width="29.7109375" style="470" customWidth="1"/>
    <col min="9219" max="9220" width="9" style="470" customWidth="1"/>
    <col min="9221" max="9221" width="9.42578125" style="470" customWidth="1"/>
    <col min="9222" max="9224" width="8.7109375" style="470" customWidth="1"/>
    <col min="9225" max="9225" width="8.42578125" style="470" customWidth="1"/>
    <col min="9226" max="9230" width="9.42578125" style="470" customWidth="1"/>
    <col min="9231" max="9231" width="12.7109375" style="470" customWidth="1"/>
    <col min="9232" max="9472" width="9.28515625" style="470"/>
    <col min="9473" max="9473" width="4.7109375" style="470" customWidth="1"/>
    <col min="9474" max="9474" width="29.7109375" style="470" customWidth="1"/>
    <col min="9475" max="9476" width="9" style="470" customWidth="1"/>
    <col min="9477" max="9477" width="9.42578125" style="470" customWidth="1"/>
    <col min="9478" max="9480" width="8.7109375" style="470" customWidth="1"/>
    <col min="9481" max="9481" width="8.42578125" style="470" customWidth="1"/>
    <col min="9482" max="9486" width="9.42578125" style="470" customWidth="1"/>
    <col min="9487" max="9487" width="12.7109375" style="470" customWidth="1"/>
    <col min="9488" max="9728" width="9.28515625" style="470"/>
    <col min="9729" max="9729" width="4.7109375" style="470" customWidth="1"/>
    <col min="9730" max="9730" width="29.7109375" style="470" customWidth="1"/>
    <col min="9731" max="9732" width="9" style="470" customWidth="1"/>
    <col min="9733" max="9733" width="9.42578125" style="470" customWidth="1"/>
    <col min="9734" max="9736" width="8.7109375" style="470" customWidth="1"/>
    <col min="9737" max="9737" width="8.42578125" style="470" customWidth="1"/>
    <col min="9738" max="9742" width="9.42578125" style="470" customWidth="1"/>
    <col min="9743" max="9743" width="12.7109375" style="470" customWidth="1"/>
    <col min="9744" max="9984" width="9.28515625" style="470"/>
    <col min="9985" max="9985" width="4.7109375" style="470" customWidth="1"/>
    <col min="9986" max="9986" width="29.7109375" style="470" customWidth="1"/>
    <col min="9987" max="9988" width="9" style="470" customWidth="1"/>
    <col min="9989" max="9989" width="9.42578125" style="470" customWidth="1"/>
    <col min="9990" max="9992" width="8.7109375" style="470" customWidth="1"/>
    <col min="9993" max="9993" width="8.42578125" style="470" customWidth="1"/>
    <col min="9994" max="9998" width="9.42578125" style="470" customWidth="1"/>
    <col min="9999" max="9999" width="12.7109375" style="470" customWidth="1"/>
    <col min="10000" max="10240" width="9.28515625" style="470"/>
    <col min="10241" max="10241" width="4.7109375" style="470" customWidth="1"/>
    <col min="10242" max="10242" width="29.7109375" style="470" customWidth="1"/>
    <col min="10243" max="10244" width="9" style="470" customWidth="1"/>
    <col min="10245" max="10245" width="9.42578125" style="470" customWidth="1"/>
    <col min="10246" max="10248" width="8.7109375" style="470" customWidth="1"/>
    <col min="10249" max="10249" width="8.42578125" style="470" customWidth="1"/>
    <col min="10250" max="10254" width="9.42578125" style="470" customWidth="1"/>
    <col min="10255" max="10255" width="12.7109375" style="470" customWidth="1"/>
    <col min="10256" max="10496" width="9.28515625" style="470"/>
    <col min="10497" max="10497" width="4.7109375" style="470" customWidth="1"/>
    <col min="10498" max="10498" width="29.7109375" style="470" customWidth="1"/>
    <col min="10499" max="10500" width="9" style="470" customWidth="1"/>
    <col min="10501" max="10501" width="9.42578125" style="470" customWidth="1"/>
    <col min="10502" max="10504" width="8.7109375" style="470" customWidth="1"/>
    <col min="10505" max="10505" width="8.42578125" style="470" customWidth="1"/>
    <col min="10506" max="10510" width="9.42578125" style="470" customWidth="1"/>
    <col min="10511" max="10511" width="12.7109375" style="470" customWidth="1"/>
    <col min="10512" max="10752" width="9.28515625" style="470"/>
    <col min="10753" max="10753" width="4.7109375" style="470" customWidth="1"/>
    <col min="10754" max="10754" width="29.7109375" style="470" customWidth="1"/>
    <col min="10755" max="10756" width="9" style="470" customWidth="1"/>
    <col min="10757" max="10757" width="9.42578125" style="470" customWidth="1"/>
    <col min="10758" max="10760" width="8.7109375" style="470" customWidth="1"/>
    <col min="10761" max="10761" width="8.42578125" style="470" customWidth="1"/>
    <col min="10762" max="10766" width="9.42578125" style="470" customWidth="1"/>
    <col min="10767" max="10767" width="12.7109375" style="470" customWidth="1"/>
    <col min="10768" max="11008" width="9.28515625" style="470"/>
    <col min="11009" max="11009" width="4.7109375" style="470" customWidth="1"/>
    <col min="11010" max="11010" width="29.7109375" style="470" customWidth="1"/>
    <col min="11011" max="11012" width="9" style="470" customWidth="1"/>
    <col min="11013" max="11013" width="9.42578125" style="470" customWidth="1"/>
    <col min="11014" max="11016" width="8.7109375" style="470" customWidth="1"/>
    <col min="11017" max="11017" width="8.42578125" style="470" customWidth="1"/>
    <col min="11018" max="11022" width="9.42578125" style="470" customWidth="1"/>
    <col min="11023" max="11023" width="12.7109375" style="470" customWidth="1"/>
    <col min="11024" max="11264" width="9.28515625" style="470"/>
    <col min="11265" max="11265" width="4.7109375" style="470" customWidth="1"/>
    <col min="11266" max="11266" width="29.7109375" style="470" customWidth="1"/>
    <col min="11267" max="11268" width="9" style="470" customWidth="1"/>
    <col min="11269" max="11269" width="9.42578125" style="470" customWidth="1"/>
    <col min="11270" max="11272" width="8.7109375" style="470" customWidth="1"/>
    <col min="11273" max="11273" width="8.42578125" style="470" customWidth="1"/>
    <col min="11274" max="11278" width="9.42578125" style="470" customWidth="1"/>
    <col min="11279" max="11279" width="12.7109375" style="470" customWidth="1"/>
    <col min="11280" max="11520" width="9.28515625" style="470"/>
    <col min="11521" max="11521" width="4.7109375" style="470" customWidth="1"/>
    <col min="11522" max="11522" width="29.7109375" style="470" customWidth="1"/>
    <col min="11523" max="11524" width="9" style="470" customWidth="1"/>
    <col min="11525" max="11525" width="9.42578125" style="470" customWidth="1"/>
    <col min="11526" max="11528" width="8.7109375" style="470" customWidth="1"/>
    <col min="11529" max="11529" width="8.42578125" style="470" customWidth="1"/>
    <col min="11530" max="11534" width="9.42578125" style="470" customWidth="1"/>
    <col min="11535" max="11535" width="12.7109375" style="470" customWidth="1"/>
    <col min="11536" max="11776" width="9.28515625" style="470"/>
    <col min="11777" max="11777" width="4.7109375" style="470" customWidth="1"/>
    <col min="11778" max="11778" width="29.7109375" style="470" customWidth="1"/>
    <col min="11779" max="11780" width="9" style="470" customWidth="1"/>
    <col min="11781" max="11781" width="9.42578125" style="470" customWidth="1"/>
    <col min="11782" max="11784" width="8.7109375" style="470" customWidth="1"/>
    <col min="11785" max="11785" width="8.42578125" style="470" customWidth="1"/>
    <col min="11786" max="11790" width="9.42578125" style="470" customWidth="1"/>
    <col min="11791" max="11791" width="12.7109375" style="470" customWidth="1"/>
    <col min="11792" max="12032" width="9.28515625" style="470"/>
    <col min="12033" max="12033" width="4.7109375" style="470" customWidth="1"/>
    <col min="12034" max="12034" width="29.7109375" style="470" customWidth="1"/>
    <col min="12035" max="12036" width="9" style="470" customWidth="1"/>
    <col min="12037" max="12037" width="9.42578125" style="470" customWidth="1"/>
    <col min="12038" max="12040" width="8.7109375" style="470" customWidth="1"/>
    <col min="12041" max="12041" width="8.42578125" style="470" customWidth="1"/>
    <col min="12042" max="12046" width="9.42578125" style="470" customWidth="1"/>
    <col min="12047" max="12047" width="12.7109375" style="470" customWidth="1"/>
    <col min="12048" max="12288" width="9.28515625" style="470"/>
    <col min="12289" max="12289" width="4.7109375" style="470" customWidth="1"/>
    <col min="12290" max="12290" width="29.7109375" style="470" customWidth="1"/>
    <col min="12291" max="12292" width="9" style="470" customWidth="1"/>
    <col min="12293" max="12293" width="9.42578125" style="470" customWidth="1"/>
    <col min="12294" max="12296" width="8.7109375" style="470" customWidth="1"/>
    <col min="12297" max="12297" width="8.42578125" style="470" customWidth="1"/>
    <col min="12298" max="12302" width="9.42578125" style="470" customWidth="1"/>
    <col min="12303" max="12303" width="12.7109375" style="470" customWidth="1"/>
    <col min="12304" max="12544" width="9.28515625" style="470"/>
    <col min="12545" max="12545" width="4.7109375" style="470" customWidth="1"/>
    <col min="12546" max="12546" width="29.7109375" style="470" customWidth="1"/>
    <col min="12547" max="12548" width="9" style="470" customWidth="1"/>
    <col min="12549" max="12549" width="9.42578125" style="470" customWidth="1"/>
    <col min="12550" max="12552" width="8.7109375" style="470" customWidth="1"/>
    <col min="12553" max="12553" width="8.42578125" style="470" customWidth="1"/>
    <col min="12554" max="12558" width="9.42578125" style="470" customWidth="1"/>
    <col min="12559" max="12559" width="12.7109375" style="470" customWidth="1"/>
    <col min="12560" max="12800" width="9.28515625" style="470"/>
    <col min="12801" max="12801" width="4.7109375" style="470" customWidth="1"/>
    <col min="12802" max="12802" width="29.7109375" style="470" customWidth="1"/>
    <col min="12803" max="12804" width="9" style="470" customWidth="1"/>
    <col min="12805" max="12805" width="9.42578125" style="470" customWidth="1"/>
    <col min="12806" max="12808" width="8.7109375" style="470" customWidth="1"/>
    <col min="12809" max="12809" width="8.42578125" style="470" customWidth="1"/>
    <col min="12810" max="12814" width="9.42578125" style="470" customWidth="1"/>
    <col min="12815" max="12815" width="12.7109375" style="470" customWidth="1"/>
    <col min="12816" max="13056" width="9.28515625" style="470"/>
    <col min="13057" max="13057" width="4.7109375" style="470" customWidth="1"/>
    <col min="13058" max="13058" width="29.7109375" style="470" customWidth="1"/>
    <col min="13059" max="13060" width="9" style="470" customWidth="1"/>
    <col min="13061" max="13061" width="9.42578125" style="470" customWidth="1"/>
    <col min="13062" max="13064" width="8.7109375" style="470" customWidth="1"/>
    <col min="13065" max="13065" width="8.42578125" style="470" customWidth="1"/>
    <col min="13066" max="13070" width="9.42578125" style="470" customWidth="1"/>
    <col min="13071" max="13071" width="12.7109375" style="470" customWidth="1"/>
    <col min="13072" max="13312" width="9.28515625" style="470"/>
    <col min="13313" max="13313" width="4.7109375" style="470" customWidth="1"/>
    <col min="13314" max="13314" width="29.7109375" style="470" customWidth="1"/>
    <col min="13315" max="13316" width="9" style="470" customWidth="1"/>
    <col min="13317" max="13317" width="9.42578125" style="470" customWidth="1"/>
    <col min="13318" max="13320" width="8.7109375" style="470" customWidth="1"/>
    <col min="13321" max="13321" width="8.42578125" style="470" customWidth="1"/>
    <col min="13322" max="13326" width="9.42578125" style="470" customWidth="1"/>
    <col min="13327" max="13327" width="12.7109375" style="470" customWidth="1"/>
    <col min="13328" max="13568" width="9.28515625" style="470"/>
    <col min="13569" max="13569" width="4.7109375" style="470" customWidth="1"/>
    <col min="13570" max="13570" width="29.7109375" style="470" customWidth="1"/>
    <col min="13571" max="13572" width="9" style="470" customWidth="1"/>
    <col min="13573" max="13573" width="9.42578125" style="470" customWidth="1"/>
    <col min="13574" max="13576" width="8.7109375" style="470" customWidth="1"/>
    <col min="13577" max="13577" width="8.42578125" style="470" customWidth="1"/>
    <col min="13578" max="13582" width="9.42578125" style="470" customWidth="1"/>
    <col min="13583" max="13583" width="12.7109375" style="470" customWidth="1"/>
    <col min="13584" max="13824" width="9.28515625" style="470"/>
    <col min="13825" max="13825" width="4.7109375" style="470" customWidth="1"/>
    <col min="13826" max="13826" width="29.7109375" style="470" customWidth="1"/>
    <col min="13827" max="13828" width="9" style="470" customWidth="1"/>
    <col min="13829" max="13829" width="9.42578125" style="470" customWidth="1"/>
    <col min="13830" max="13832" width="8.7109375" style="470" customWidth="1"/>
    <col min="13833" max="13833" width="8.42578125" style="470" customWidth="1"/>
    <col min="13834" max="13838" width="9.42578125" style="470" customWidth="1"/>
    <col min="13839" max="13839" width="12.7109375" style="470" customWidth="1"/>
    <col min="13840" max="14080" width="9.28515625" style="470"/>
    <col min="14081" max="14081" width="4.7109375" style="470" customWidth="1"/>
    <col min="14082" max="14082" width="29.7109375" style="470" customWidth="1"/>
    <col min="14083" max="14084" width="9" style="470" customWidth="1"/>
    <col min="14085" max="14085" width="9.42578125" style="470" customWidth="1"/>
    <col min="14086" max="14088" width="8.7109375" style="470" customWidth="1"/>
    <col min="14089" max="14089" width="8.42578125" style="470" customWidth="1"/>
    <col min="14090" max="14094" width="9.42578125" style="470" customWidth="1"/>
    <col min="14095" max="14095" width="12.7109375" style="470" customWidth="1"/>
    <col min="14096" max="14336" width="9.28515625" style="470"/>
    <col min="14337" max="14337" width="4.7109375" style="470" customWidth="1"/>
    <col min="14338" max="14338" width="29.7109375" style="470" customWidth="1"/>
    <col min="14339" max="14340" width="9" style="470" customWidth="1"/>
    <col min="14341" max="14341" width="9.42578125" style="470" customWidth="1"/>
    <col min="14342" max="14344" width="8.7109375" style="470" customWidth="1"/>
    <col min="14345" max="14345" width="8.42578125" style="470" customWidth="1"/>
    <col min="14346" max="14350" width="9.42578125" style="470" customWidth="1"/>
    <col min="14351" max="14351" width="12.7109375" style="470" customWidth="1"/>
    <col min="14352" max="14592" width="9.28515625" style="470"/>
    <col min="14593" max="14593" width="4.7109375" style="470" customWidth="1"/>
    <col min="14594" max="14594" width="29.7109375" style="470" customWidth="1"/>
    <col min="14595" max="14596" width="9" style="470" customWidth="1"/>
    <col min="14597" max="14597" width="9.42578125" style="470" customWidth="1"/>
    <col min="14598" max="14600" width="8.7109375" style="470" customWidth="1"/>
    <col min="14601" max="14601" width="8.42578125" style="470" customWidth="1"/>
    <col min="14602" max="14606" width="9.42578125" style="470" customWidth="1"/>
    <col min="14607" max="14607" width="12.7109375" style="470" customWidth="1"/>
    <col min="14608" max="14848" width="9.28515625" style="470"/>
    <col min="14849" max="14849" width="4.7109375" style="470" customWidth="1"/>
    <col min="14850" max="14850" width="29.7109375" style="470" customWidth="1"/>
    <col min="14851" max="14852" width="9" style="470" customWidth="1"/>
    <col min="14853" max="14853" width="9.42578125" style="470" customWidth="1"/>
    <col min="14854" max="14856" width="8.7109375" style="470" customWidth="1"/>
    <col min="14857" max="14857" width="8.42578125" style="470" customWidth="1"/>
    <col min="14858" max="14862" width="9.42578125" style="470" customWidth="1"/>
    <col min="14863" max="14863" width="12.7109375" style="470" customWidth="1"/>
    <col min="14864" max="15104" width="9.28515625" style="470"/>
    <col min="15105" max="15105" width="4.7109375" style="470" customWidth="1"/>
    <col min="15106" max="15106" width="29.7109375" style="470" customWidth="1"/>
    <col min="15107" max="15108" width="9" style="470" customWidth="1"/>
    <col min="15109" max="15109" width="9.42578125" style="470" customWidth="1"/>
    <col min="15110" max="15112" width="8.7109375" style="470" customWidth="1"/>
    <col min="15113" max="15113" width="8.42578125" style="470" customWidth="1"/>
    <col min="15114" max="15118" width="9.42578125" style="470" customWidth="1"/>
    <col min="15119" max="15119" width="12.7109375" style="470" customWidth="1"/>
    <col min="15120" max="15360" width="9.28515625" style="470"/>
    <col min="15361" max="15361" width="4.7109375" style="470" customWidth="1"/>
    <col min="15362" max="15362" width="29.7109375" style="470" customWidth="1"/>
    <col min="15363" max="15364" width="9" style="470" customWidth="1"/>
    <col min="15365" max="15365" width="9.42578125" style="470" customWidth="1"/>
    <col min="15366" max="15368" width="8.7109375" style="470" customWidth="1"/>
    <col min="15369" max="15369" width="8.42578125" style="470" customWidth="1"/>
    <col min="15370" max="15374" width="9.42578125" style="470" customWidth="1"/>
    <col min="15375" max="15375" width="12.7109375" style="470" customWidth="1"/>
    <col min="15376" max="15616" width="9.28515625" style="470"/>
    <col min="15617" max="15617" width="4.7109375" style="470" customWidth="1"/>
    <col min="15618" max="15618" width="29.7109375" style="470" customWidth="1"/>
    <col min="15619" max="15620" width="9" style="470" customWidth="1"/>
    <col min="15621" max="15621" width="9.42578125" style="470" customWidth="1"/>
    <col min="15622" max="15624" width="8.7109375" style="470" customWidth="1"/>
    <col min="15625" max="15625" width="8.42578125" style="470" customWidth="1"/>
    <col min="15626" max="15630" width="9.42578125" style="470" customWidth="1"/>
    <col min="15631" max="15631" width="12.7109375" style="470" customWidth="1"/>
    <col min="15632" max="15872" width="9.28515625" style="470"/>
    <col min="15873" max="15873" width="4.7109375" style="470" customWidth="1"/>
    <col min="15874" max="15874" width="29.7109375" style="470" customWidth="1"/>
    <col min="15875" max="15876" width="9" style="470" customWidth="1"/>
    <col min="15877" max="15877" width="9.42578125" style="470" customWidth="1"/>
    <col min="15878" max="15880" width="8.7109375" style="470" customWidth="1"/>
    <col min="15881" max="15881" width="8.42578125" style="470" customWidth="1"/>
    <col min="15882" max="15886" width="9.42578125" style="470" customWidth="1"/>
    <col min="15887" max="15887" width="12.7109375" style="470" customWidth="1"/>
    <col min="15888" max="16128" width="9.28515625" style="470"/>
    <col min="16129" max="16129" width="4.7109375" style="470" customWidth="1"/>
    <col min="16130" max="16130" width="29.7109375" style="470" customWidth="1"/>
    <col min="16131" max="16132" width="9" style="470" customWidth="1"/>
    <col min="16133" max="16133" width="9.42578125" style="470" customWidth="1"/>
    <col min="16134" max="16136" width="8.7109375" style="470" customWidth="1"/>
    <col min="16137" max="16137" width="8.42578125" style="470" customWidth="1"/>
    <col min="16138" max="16142" width="9.42578125" style="470" customWidth="1"/>
    <col min="16143" max="16143" width="12.7109375" style="470" customWidth="1"/>
    <col min="16144" max="16384" width="9.28515625" style="470"/>
  </cols>
  <sheetData>
    <row r="1" spans="1:15" x14ac:dyDescent="0.25">
      <c r="A1" s="1178" t="s">
        <v>485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</row>
    <row r="2" spans="1:15" ht="16.5" thickBot="1" x14ac:dyDescent="0.3">
      <c r="A2" s="470"/>
      <c r="O2" s="471" t="s">
        <v>486</v>
      </c>
    </row>
    <row r="3" spans="1:15" s="475" customFormat="1" ht="36.75" thickBot="1" x14ac:dyDescent="0.3">
      <c r="A3" s="472" t="s">
        <v>223</v>
      </c>
      <c r="B3" s="473" t="s">
        <v>31</v>
      </c>
      <c r="C3" s="473" t="s">
        <v>487</v>
      </c>
      <c r="D3" s="473" t="s">
        <v>488</v>
      </c>
      <c r="E3" s="473" t="s">
        <v>489</v>
      </c>
      <c r="F3" s="473" t="s">
        <v>490</v>
      </c>
      <c r="G3" s="473" t="s">
        <v>491</v>
      </c>
      <c r="H3" s="473" t="s">
        <v>492</v>
      </c>
      <c r="I3" s="473" t="s">
        <v>493</v>
      </c>
      <c r="J3" s="473" t="s">
        <v>494</v>
      </c>
      <c r="K3" s="473" t="s">
        <v>495</v>
      </c>
      <c r="L3" s="473" t="s">
        <v>496</v>
      </c>
      <c r="M3" s="473" t="s">
        <v>497</v>
      </c>
      <c r="N3" s="473" t="s">
        <v>498</v>
      </c>
      <c r="O3" s="474" t="s">
        <v>0</v>
      </c>
    </row>
    <row r="4" spans="1:15" s="477" customFormat="1" ht="16.5" thickBot="1" x14ac:dyDescent="0.3">
      <c r="A4" s="476"/>
      <c r="B4" s="1180" t="s">
        <v>499</v>
      </c>
      <c r="C4" s="1181"/>
      <c r="D4" s="1181"/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2"/>
    </row>
    <row r="5" spans="1:15" s="477" customFormat="1" x14ac:dyDescent="0.25">
      <c r="A5" s="478" t="s">
        <v>11</v>
      </c>
      <c r="B5" s="479" t="s">
        <v>500</v>
      </c>
      <c r="C5" s="480"/>
      <c r="D5" s="481">
        <f>+C27</f>
        <v>0</v>
      </c>
      <c r="E5" s="481">
        <f>+D27</f>
        <v>0</v>
      </c>
      <c r="F5" s="481">
        <f t="shared" ref="F5:N5" si="0">+E27</f>
        <v>0</v>
      </c>
      <c r="G5" s="481">
        <f t="shared" si="0"/>
        <v>0</v>
      </c>
      <c r="H5" s="481">
        <f t="shared" si="0"/>
        <v>0</v>
      </c>
      <c r="I5" s="481">
        <f t="shared" si="0"/>
        <v>0</v>
      </c>
      <c r="J5" s="481">
        <f t="shared" si="0"/>
        <v>0</v>
      </c>
      <c r="K5" s="481">
        <f t="shared" si="0"/>
        <v>0</v>
      </c>
      <c r="L5" s="481">
        <f t="shared" si="0"/>
        <v>0</v>
      </c>
      <c r="M5" s="481">
        <f t="shared" si="0"/>
        <v>0</v>
      </c>
      <c r="N5" s="481">
        <f t="shared" si="0"/>
        <v>0</v>
      </c>
      <c r="O5" s="482" t="s">
        <v>501</v>
      </c>
    </row>
    <row r="6" spans="1:15" s="477" customFormat="1" x14ac:dyDescent="0.25">
      <c r="A6" s="483" t="s">
        <v>12</v>
      </c>
      <c r="B6" s="484" t="s">
        <v>502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>
        <f>SUM(C6:N6)</f>
        <v>0</v>
      </c>
    </row>
    <row r="7" spans="1:15" s="487" customFormat="1" x14ac:dyDescent="0.25">
      <c r="A7" s="483" t="s">
        <v>13</v>
      </c>
      <c r="B7" s="484" t="s">
        <v>503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6">
        <f t="shared" ref="O7:O14" si="1">SUM(C7:N7)</f>
        <v>0</v>
      </c>
    </row>
    <row r="8" spans="1:15" s="487" customFormat="1" ht="22.5" x14ac:dyDescent="0.25">
      <c r="A8" s="483" t="s">
        <v>14</v>
      </c>
      <c r="B8" s="488" t="s">
        <v>504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6">
        <f t="shared" si="1"/>
        <v>0</v>
      </c>
    </row>
    <row r="9" spans="1:15" s="487" customFormat="1" x14ac:dyDescent="0.25">
      <c r="A9" s="483" t="s">
        <v>15</v>
      </c>
      <c r="B9" s="490" t="s">
        <v>75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6">
        <f t="shared" si="1"/>
        <v>0</v>
      </c>
    </row>
    <row r="10" spans="1:15" s="487" customFormat="1" x14ac:dyDescent="0.25">
      <c r="A10" s="483" t="s">
        <v>16</v>
      </c>
      <c r="B10" s="490" t="s">
        <v>76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6">
        <f t="shared" si="1"/>
        <v>0</v>
      </c>
    </row>
    <row r="11" spans="1:15" s="487" customFormat="1" x14ac:dyDescent="0.25">
      <c r="A11" s="483" t="s">
        <v>17</v>
      </c>
      <c r="B11" s="490" t="s">
        <v>77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6">
        <f t="shared" si="1"/>
        <v>0</v>
      </c>
    </row>
    <row r="12" spans="1:15" s="487" customFormat="1" x14ac:dyDescent="0.25">
      <c r="A12" s="483" t="s">
        <v>18</v>
      </c>
      <c r="B12" s="490" t="s">
        <v>78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6">
        <f t="shared" si="1"/>
        <v>0</v>
      </c>
    </row>
    <row r="13" spans="1:15" s="487" customFormat="1" x14ac:dyDescent="0.25">
      <c r="A13" s="483" t="s">
        <v>19</v>
      </c>
      <c r="B13" s="484" t="s">
        <v>79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6">
        <f t="shared" si="1"/>
        <v>0</v>
      </c>
    </row>
    <row r="14" spans="1:15" s="487" customFormat="1" ht="16.5" thickBot="1" x14ac:dyDescent="0.3">
      <c r="A14" s="483" t="s">
        <v>20</v>
      </c>
      <c r="B14" s="490" t="s">
        <v>505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6">
        <f t="shared" si="1"/>
        <v>0</v>
      </c>
    </row>
    <row r="15" spans="1:15" s="477" customFormat="1" ht="16.5" thickBot="1" x14ac:dyDescent="0.3">
      <c r="A15" s="476" t="s">
        <v>21</v>
      </c>
      <c r="B15" s="491" t="s">
        <v>506</v>
      </c>
      <c r="C15" s="492">
        <f t="shared" ref="C15:N15" si="2">SUM(C5:C14)</f>
        <v>0</v>
      </c>
      <c r="D15" s="492">
        <f t="shared" si="2"/>
        <v>0</v>
      </c>
      <c r="E15" s="492">
        <f t="shared" si="2"/>
        <v>0</v>
      </c>
      <c r="F15" s="492">
        <f t="shared" si="2"/>
        <v>0</v>
      </c>
      <c r="G15" s="492">
        <f t="shared" si="2"/>
        <v>0</v>
      </c>
      <c r="H15" s="492">
        <f t="shared" si="2"/>
        <v>0</v>
      </c>
      <c r="I15" s="492">
        <f t="shared" si="2"/>
        <v>0</v>
      </c>
      <c r="J15" s="492">
        <f t="shared" si="2"/>
        <v>0</v>
      </c>
      <c r="K15" s="492">
        <f t="shared" si="2"/>
        <v>0</v>
      </c>
      <c r="L15" s="492">
        <f t="shared" si="2"/>
        <v>0</v>
      </c>
      <c r="M15" s="492">
        <f t="shared" si="2"/>
        <v>0</v>
      </c>
      <c r="N15" s="492">
        <f t="shared" si="2"/>
        <v>0</v>
      </c>
      <c r="O15" s="493">
        <f>C5+O6+O7+O8+O9+O10+O11+O12+O13+O14</f>
        <v>0</v>
      </c>
    </row>
    <row r="16" spans="1:15" s="477" customFormat="1" ht="16.5" thickBot="1" x14ac:dyDescent="0.3">
      <c r="A16" s="476"/>
      <c r="B16" s="1180" t="s">
        <v>5</v>
      </c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4"/>
    </row>
    <row r="17" spans="1:15" s="487" customFormat="1" x14ac:dyDescent="0.25">
      <c r="A17" s="494" t="s">
        <v>22</v>
      </c>
      <c r="B17" s="495" t="s">
        <v>6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96">
        <f t="shared" ref="O17:O26" si="3">SUM(C17:N17)</f>
        <v>0</v>
      </c>
    </row>
    <row r="18" spans="1:15" s="487" customFormat="1" ht="22.5" x14ac:dyDescent="0.25">
      <c r="A18" s="483" t="s">
        <v>23</v>
      </c>
      <c r="B18" s="484" t="s">
        <v>7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6">
        <f t="shared" si="3"/>
        <v>0</v>
      </c>
    </row>
    <row r="19" spans="1:15" s="487" customFormat="1" x14ac:dyDescent="0.25">
      <c r="A19" s="483" t="s">
        <v>24</v>
      </c>
      <c r="B19" s="490" t="s">
        <v>113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6">
        <f t="shared" si="3"/>
        <v>0</v>
      </c>
    </row>
    <row r="20" spans="1:15" s="487" customFormat="1" x14ac:dyDescent="0.25">
      <c r="A20" s="483" t="s">
        <v>25</v>
      </c>
      <c r="B20" s="490" t="s">
        <v>43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6">
        <f t="shared" si="3"/>
        <v>0</v>
      </c>
    </row>
    <row r="21" spans="1:15" s="487" customFormat="1" x14ac:dyDescent="0.25">
      <c r="A21" s="483" t="s">
        <v>26</v>
      </c>
      <c r="B21" s="490" t="s">
        <v>44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6">
        <f t="shared" si="3"/>
        <v>0</v>
      </c>
    </row>
    <row r="22" spans="1:15" s="487" customFormat="1" x14ac:dyDescent="0.25">
      <c r="A22" s="483" t="s">
        <v>27</v>
      </c>
      <c r="B22" s="490" t="s">
        <v>9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6">
        <f t="shared" si="3"/>
        <v>0</v>
      </c>
    </row>
    <row r="23" spans="1:15" s="487" customFormat="1" x14ac:dyDescent="0.25">
      <c r="A23" s="483" t="s">
        <v>28</v>
      </c>
      <c r="B23" s="484" t="s">
        <v>10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6">
        <f t="shared" si="3"/>
        <v>0</v>
      </c>
    </row>
    <row r="24" spans="1:15" s="487" customFormat="1" x14ac:dyDescent="0.25">
      <c r="A24" s="483" t="s">
        <v>29</v>
      </c>
      <c r="B24" s="490" t="s">
        <v>146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6">
        <f t="shared" si="3"/>
        <v>0</v>
      </c>
    </row>
    <row r="25" spans="1:15" s="487" customFormat="1" ht="16.5" thickBot="1" x14ac:dyDescent="0.3">
      <c r="A25" s="483" t="s">
        <v>209</v>
      </c>
      <c r="B25" s="490" t="s">
        <v>507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6">
        <f t="shared" si="3"/>
        <v>0</v>
      </c>
    </row>
    <row r="26" spans="1:15" s="477" customFormat="1" ht="16.5" thickBot="1" x14ac:dyDescent="0.3">
      <c r="A26" s="497" t="s">
        <v>508</v>
      </c>
      <c r="B26" s="491" t="s">
        <v>509</v>
      </c>
      <c r="C26" s="492">
        <f t="shared" ref="C26:N26" si="4">SUM(C17:C25)</f>
        <v>0</v>
      </c>
      <c r="D26" s="492">
        <f t="shared" si="4"/>
        <v>0</v>
      </c>
      <c r="E26" s="492">
        <f t="shared" si="4"/>
        <v>0</v>
      </c>
      <c r="F26" s="492">
        <f t="shared" si="4"/>
        <v>0</v>
      </c>
      <c r="G26" s="492">
        <f t="shared" si="4"/>
        <v>0</v>
      </c>
      <c r="H26" s="492">
        <f t="shared" si="4"/>
        <v>0</v>
      </c>
      <c r="I26" s="492">
        <f t="shared" si="4"/>
        <v>0</v>
      </c>
      <c r="J26" s="492">
        <f t="shared" si="4"/>
        <v>0</v>
      </c>
      <c r="K26" s="492">
        <f t="shared" si="4"/>
        <v>0</v>
      </c>
      <c r="L26" s="492">
        <f t="shared" si="4"/>
        <v>0</v>
      </c>
      <c r="M26" s="492">
        <f t="shared" si="4"/>
        <v>0</v>
      </c>
      <c r="N26" s="492">
        <f t="shared" si="4"/>
        <v>0</v>
      </c>
      <c r="O26" s="498">
        <f t="shared" si="3"/>
        <v>0</v>
      </c>
    </row>
    <row r="27" spans="1:15" ht="16.5" thickBot="1" x14ac:dyDescent="0.3">
      <c r="A27" s="497" t="s">
        <v>510</v>
      </c>
      <c r="B27" s="499" t="s">
        <v>511</v>
      </c>
      <c r="C27" s="500">
        <f t="shared" ref="C27:N27" si="5">C15-C26</f>
        <v>0</v>
      </c>
      <c r="D27" s="500">
        <f t="shared" si="5"/>
        <v>0</v>
      </c>
      <c r="E27" s="500">
        <f t="shared" si="5"/>
        <v>0</v>
      </c>
      <c r="F27" s="500">
        <f t="shared" si="5"/>
        <v>0</v>
      </c>
      <c r="G27" s="500">
        <f t="shared" si="5"/>
        <v>0</v>
      </c>
      <c r="H27" s="500">
        <f t="shared" si="5"/>
        <v>0</v>
      </c>
      <c r="I27" s="500">
        <f t="shared" si="5"/>
        <v>0</v>
      </c>
      <c r="J27" s="500">
        <f t="shared" si="5"/>
        <v>0</v>
      </c>
      <c r="K27" s="500">
        <f t="shared" si="5"/>
        <v>0</v>
      </c>
      <c r="L27" s="500">
        <f t="shared" si="5"/>
        <v>0</v>
      </c>
      <c r="M27" s="500">
        <f t="shared" si="5"/>
        <v>0</v>
      </c>
      <c r="N27" s="500">
        <f t="shared" si="5"/>
        <v>0</v>
      </c>
      <c r="O27" s="501" t="s">
        <v>501</v>
      </c>
    </row>
    <row r="28" spans="1:15" x14ac:dyDescent="0.25">
      <c r="A28" s="502"/>
    </row>
    <row r="29" spans="1:15" x14ac:dyDescent="0.25">
      <c r="B29" s="503"/>
      <c r="C29" s="504"/>
      <c r="D29" s="504"/>
    </row>
  </sheetData>
  <mergeCells count="3">
    <mergeCell ref="A1:O1"/>
    <mergeCell ref="B4:O4"/>
    <mergeCell ref="B16:O1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77111117893"/>
    <pageSetUpPr fitToPage="1"/>
  </sheetPr>
  <dimension ref="A1:AD173"/>
  <sheetViews>
    <sheetView view="pageBreakPreview" zoomScale="90" zoomScaleNormal="115" zoomScaleSheetLayoutView="90" workbookViewId="0">
      <selection activeCell="X6" sqref="X6"/>
    </sheetView>
  </sheetViews>
  <sheetFormatPr defaultRowHeight="15" x14ac:dyDescent="0.25"/>
  <cols>
    <col min="1" max="1" width="3.7109375" customWidth="1"/>
    <col min="2" max="2" width="34.7109375" customWidth="1"/>
    <col min="3" max="3" width="14.7109375" customWidth="1"/>
    <col min="4" max="4" width="14.28515625" customWidth="1"/>
    <col min="5" max="5" width="14.28515625" style="106" customWidth="1"/>
    <col min="6" max="6" width="11.28515625" customWidth="1"/>
    <col min="7" max="7" width="19" customWidth="1"/>
    <col min="8" max="8" width="12.42578125" customWidth="1"/>
    <col min="9" max="9" width="10.5703125" customWidth="1"/>
    <col min="10" max="10" width="17.28515625" customWidth="1"/>
    <col min="11" max="11" width="10.28515625" customWidth="1"/>
    <col min="12" max="12" width="10.5703125" customWidth="1"/>
    <col min="13" max="13" width="16.7109375" customWidth="1"/>
    <col min="14" max="14" width="10.28515625" customWidth="1"/>
    <col min="15" max="15" width="10.5703125" customWidth="1"/>
    <col min="16" max="16" width="11.7109375" customWidth="1"/>
    <col min="17" max="17" width="12.28515625" customWidth="1"/>
    <col min="18" max="18" width="10.28515625" customWidth="1"/>
    <col min="19" max="19" width="10.5703125" customWidth="1"/>
    <col min="20" max="20" width="10" customWidth="1"/>
    <col min="22" max="22" width="10.28515625" customWidth="1"/>
    <col min="23" max="23" width="15.7109375" customWidth="1"/>
    <col min="24" max="24" width="10.28515625" customWidth="1"/>
    <col min="25" max="25" width="10.5703125" customWidth="1"/>
    <col min="26" max="26" width="10" customWidth="1"/>
    <col min="27" max="27" width="10.28515625" customWidth="1"/>
  </cols>
  <sheetData>
    <row r="1" spans="1:30" ht="15" customHeight="1" x14ac:dyDescent="0.25">
      <c r="A1" s="1185" t="s">
        <v>267</v>
      </c>
      <c r="B1" s="1185"/>
      <c r="C1" s="1185"/>
      <c r="D1" s="1185"/>
      <c r="E1" s="1185"/>
      <c r="F1" s="1185"/>
      <c r="G1" s="1185"/>
      <c r="H1" s="108"/>
      <c r="I1" s="100"/>
      <c r="J1" s="107"/>
      <c r="K1" s="108"/>
      <c r="L1" s="100"/>
      <c r="M1" s="107"/>
      <c r="N1" s="108"/>
      <c r="O1" s="100"/>
      <c r="P1" s="107"/>
      <c r="Q1" s="107"/>
      <c r="R1" s="108"/>
      <c r="S1" s="100"/>
      <c r="T1" s="107"/>
      <c r="U1" s="107"/>
      <c r="V1" s="108"/>
      <c r="W1" s="100"/>
      <c r="X1" s="1169" t="s">
        <v>303</v>
      </c>
      <c r="Y1" s="1169"/>
      <c r="Z1" s="1169"/>
      <c r="AA1" s="1169"/>
    </row>
    <row r="2" spans="1:30" x14ac:dyDescent="0.25">
      <c r="A2" s="1185"/>
      <c r="B2" s="1185"/>
      <c r="C2" s="1185"/>
      <c r="D2" s="1185"/>
      <c r="E2" s="1185"/>
      <c r="F2" s="1185"/>
      <c r="G2" s="1185"/>
      <c r="H2" s="108"/>
      <c r="I2" s="98"/>
      <c r="J2" s="108"/>
      <c r="K2" s="108"/>
      <c r="L2" s="98"/>
      <c r="M2" s="108"/>
      <c r="N2" s="108"/>
      <c r="O2" s="98"/>
      <c r="P2" s="108"/>
      <c r="Q2" s="108"/>
      <c r="R2" s="108"/>
      <c r="S2" s="98"/>
      <c r="T2" s="108"/>
      <c r="U2" s="108"/>
      <c r="V2" s="108"/>
      <c r="W2" s="98"/>
      <c r="X2" s="1169"/>
      <c r="Y2" s="1169"/>
      <c r="Z2" s="1169"/>
      <c r="AA2" s="1169"/>
    </row>
    <row r="3" spans="1:30" x14ac:dyDescent="0.25">
      <c r="A3" s="97"/>
      <c r="B3" s="98"/>
      <c r="C3" s="98"/>
      <c r="D3" s="54"/>
      <c r="E3" s="54"/>
      <c r="G3" s="98"/>
      <c r="H3" s="99"/>
      <c r="I3" s="98"/>
      <c r="J3" s="99"/>
      <c r="K3" s="99"/>
      <c r="L3" s="98"/>
      <c r="M3" s="99"/>
      <c r="N3" s="99"/>
      <c r="O3" s="98"/>
      <c r="P3" s="99"/>
      <c r="Q3" s="99"/>
      <c r="R3" s="99"/>
      <c r="S3" s="98"/>
      <c r="T3" s="99"/>
      <c r="U3" s="99"/>
      <c r="V3" s="99"/>
      <c r="W3" s="98"/>
      <c r="X3" s="99"/>
      <c r="Y3" s="98"/>
      <c r="Z3" s="99"/>
      <c r="AA3" s="99"/>
    </row>
    <row r="4" spans="1:30" ht="15.75" thickBot="1" x14ac:dyDescent="0.3">
      <c r="A4" s="97"/>
      <c r="B4" s="98"/>
      <c r="C4" s="98"/>
      <c r="D4" s="54"/>
      <c r="E4" s="54"/>
      <c r="G4" s="98"/>
      <c r="H4" s="109"/>
      <c r="I4" s="98"/>
      <c r="J4" s="99"/>
      <c r="K4" s="99"/>
      <c r="L4" s="98"/>
      <c r="M4" s="99"/>
      <c r="N4" s="99"/>
      <c r="O4" s="98"/>
      <c r="P4" s="99"/>
      <c r="Q4" s="99"/>
      <c r="R4" s="99"/>
      <c r="S4" s="98"/>
      <c r="T4" s="99"/>
      <c r="U4" s="99"/>
      <c r="V4" s="99"/>
      <c r="W4" s="98"/>
      <c r="X4" s="99"/>
      <c r="Y4" s="98"/>
      <c r="AA4" s="99"/>
      <c r="AC4" s="28" t="s">
        <v>339</v>
      </c>
    </row>
    <row r="5" spans="1:30" s="133" customFormat="1" ht="33.75" customHeight="1" thickBot="1" x14ac:dyDescent="0.3">
      <c r="A5" s="135"/>
      <c r="B5" s="136" t="s">
        <v>37</v>
      </c>
      <c r="C5" s="1192" t="s">
        <v>216</v>
      </c>
      <c r="D5" s="1193"/>
      <c r="E5" s="1195"/>
      <c r="F5" s="1194"/>
      <c r="G5" s="1196" t="s">
        <v>253</v>
      </c>
      <c r="H5" s="1197"/>
      <c r="I5" s="1192" t="s">
        <v>254</v>
      </c>
      <c r="J5" s="1193"/>
      <c r="K5" s="1194"/>
      <c r="L5" s="1192" t="s">
        <v>255</v>
      </c>
      <c r="M5" s="1193"/>
      <c r="N5" s="1194"/>
      <c r="O5" s="1192" t="s">
        <v>256</v>
      </c>
      <c r="P5" s="1193"/>
      <c r="Q5" s="1193"/>
      <c r="R5" s="1194"/>
      <c r="S5" s="1192" t="s">
        <v>257</v>
      </c>
      <c r="T5" s="1193"/>
      <c r="U5" s="1193"/>
      <c r="V5" s="1194"/>
      <c r="W5" s="1192" t="s">
        <v>111</v>
      </c>
      <c r="X5" s="1194"/>
      <c r="Y5" s="1192" t="s">
        <v>38</v>
      </c>
      <c r="Z5" s="1193"/>
      <c r="AA5" s="1194"/>
      <c r="AB5" s="1192" t="s">
        <v>288</v>
      </c>
      <c r="AC5" s="1193"/>
      <c r="AD5" s="1194"/>
    </row>
    <row r="6" spans="1:30" s="105" customFormat="1" ht="79.5" thickBot="1" x14ac:dyDescent="0.3">
      <c r="A6" s="135" t="s">
        <v>110</v>
      </c>
      <c r="B6" s="144" t="s">
        <v>31</v>
      </c>
      <c r="C6" s="145" t="s">
        <v>266</v>
      </c>
      <c r="D6" s="146" t="s">
        <v>260</v>
      </c>
      <c r="E6" s="146" t="s">
        <v>334</v>
      </c>
      <c r="F6" s="147" t="s">
        <v>182</v>
      </c>
      <c r="G6" s="191" t="s">
        <v>266</v>
      </c>
      <c r="H6" s="159" t="s">
        <v>186</v>
      </c>
      <c r="I6" s="145" t="s">
        <v>261</v>
      </c>
      <c r="J6" s="146" t="s">
        <v>262</v>
      </c>
      <c r="K6" s="148" t="s">
        <v>186</v>
      </c>
      <c r="L6" s="145" t="s">
        <v>261</v>
      </c>
      <c r="M6" s="146" t="s">
        <v>262</v>
      </c>
      <c r="N6" s="149" t="s">
        <v>186</v>
      </c>
      <c r="O6" s="145" t="s">
        <v>258</v>
      </c>
      <c r="P6" s="146" t="s">
        <v>259</v>
      </c>
      <c r="Q6" s="146" t="s">
        <v>260</v>
      </c>
      <c r="R6" s="149" t="s">
        <v>186</v>
      </c>
      <c r="S6" s="145" t="s">
        <v>258</v>
      </c>
      <c r="T6" s="146" t="s">
        <v>259</v>
      </c>
      <c r="U6" s="146" t="s">
        <v>260</v>
      </c>
      <c r="V6" s="149" t="s">
        <v>186</v>
      </c>
      <c r="W6" s="145" t="s">
        <v>265</v>
      </c>
      <c r="X6" s="149" t="s">
        <v>186</v>
      </c>
      <c r="Y6" s="145" t="s">
        <v>263</v>
      </c>
      <c r="Z6" s="146" t="s">
        <v>264</v>
      </c>
      <c r="AA6" s="148" t="s">
        <v>186</v>
      </c>
      <c r="AB6" s="146" t="s">
        <v>289</v>
      </c>
      <c r="AC6" s="146" t="s">
        <v>290</v>
      </c>
      <c r="AD6" s="161" t="s">
        <v>186</v>
      </c>
    </row>
    <row r="7" spans="1:30" ht="23.25" x14ac:dyDescent="0.25">
      <c r="A7" s="137" t="s">
        <v>11</v>
      </c>
      <c r="B7" s="138" t="s">
        <v>158</v>
      </c>
      <c r="C7" s="139">
        <v>811554</v>
      </c>
      <c r="D7" s="140"/>
      <c r="E7" s="219"/>
      <c r="F7" s="190">
        <f>SUM(C7:E7)</f>
        <v>811554</v>
      </c>
      <c r="G7" s="192">
        <v>0</v>
      </c>
      <c r="H7" s="193">
        <f t="shared" ref="H7:H24" si="0">SUM(G7:G7)</f>
        <v>0</v>
      </c>
      <c r="I7" s="141">
        <v>0</v>
      </c>
      <c r="J7" s="140">
        <v>0</v>
      </c>
      <c r="K7" s="142">
        <f>SUM(I7:J7)</f>
        <v>0</v>
      </c>
      <c r="L7" s="143">
        <v>0</v>
      </c>
      <c r="M7" s="140">
        <v>0</v>
      </c>
      <c r="N7" s="142">
        <f>SUM(L7:M7)</f>
        <v>0</v>
      </c>
      <c r="O7" s="143">
        <v>0</v>
      </c>
      <c r="P7" s="140">
        <v>0</v>
      </c>
      <c r="Q7" s="140">
        <v>0</v>
      </c>
      <c r="R7" s="142">
        <f>O7+P7+Q7</f>
        <v>0</v>
      </c>
      <c r="S7" s="143">
        <v>0</v>
      </c>
      <c r="T7" s="140">
        <v>0</v>
      </c>
      <c r="U7" s="140">
        <v>0</v>
      </c>
      <c r="V7" s="142">
        <f>S7+T7+U7</f>
        <v>0</v>
      </c>
      <c r="W7" s="143">
        <v>0</v>
      </c>
      <c r="X7" s="142">
        <f>SUM(W7)</f>
        <v>0</v>
      </c>
      <c r="Y7" s="143">
        <v>0</v>
      </c>
      <c r="Z7" s="140">
        <v>0</v>
      </c>
      <c r="AA7" s="142">
        <f>SUM(Y7:Z7)</f>
        <v>0</v>
      </c>
      <c r="AB7" s="143">
        <v>0</v>
      </c>
      <c r="AC7" s="140">
        <v>0</v>
      </c>
      <c r="AD7" s="142">
        <f>SUM(AB7:AC7)</f>
        <v>0</v>
      </c>
    </row>
    <row r="8" spans="1:30" x14ac:dyDescent="0.25">
      <c r="A8" s="124" t="s">
        <v>12</v>
      </c>
      <c r="B8" s="110" t="s">
        <v>157</v>
      </c>
      <c r="C8" s="113">
        <v>106327</v>
      </c>
      <c r="D8" s="87"/>
      <c r="E8" s="220">
        <v>14144</v>
      </c>
      <c r="F8" s="190">
        <f t="shared" ref="F8:F24" si="1">SUM(C8:E8)</f>
        <v>120471</v>
      </c>
      <c r="G8" s="118">
        <v>0</v>
      </c>
      <c r="H8" s="117">
        <f t="shared" si="0"/>
        <v>0</v>
      </c>
      <c r="I8" s="112">
        <v>0</v>
      </c>
      <c r="J8" s="87">
        <v>0</v>
      </c>
      <c r="K8" s="117">
        <f t="shared" ref="K8:K24" si="2">SUM(I8:J8)</f>
        <v>0</v>
      </c>
      <c r="L8" s="118">
        <v>0</v>
      </c>
      <c r="M8" s="87">
        <v>0</v>
      </c>
      <c r="N8" s="117">
        <f t="shared" ref="N8:N24" si="3">SUM(L8:M8)</f>
        <v>0</v>
      </c>
      <c r="O8" s="118">
        <v>0</v>
      </c>
      <c r="P8" s="87">
        <v>0</v>
      </c>
      <c r="Q8" s="87">
        <v>0</v>
      </c>
      <c r="R8" s="117">
        <f t="shared" ref="R8:R24" si="4">O8+P8+Q8</f>
        <v>0</v>
      </c>
      <c r="S8" s="118">
        <v>0</v>
      </c>
      <c r="T8" s="87">
        <v>0</v>
      </c>
      <c r="U8" s="87">
        <v>0</v>
      </c>
      <c r="V8" s="117">
        <f t="shared" ref="V8:V24" si="5">S8+T8+U8</f>
        <v>0</v>
      </c>
      <c r="W8" s="118">
        <v>4000</v>
      </c>
      <c r="X8" s="117">
        <f t="shared" ref="X8:X24" si="6">SUM(W8)</f>
        <v>4000</v>
      </c>
      <c r="Y8" s="118">
        <v>0</v>
      </c>
      <c r="Z8" s="87">
        <v>0</v>
      </c>
      <c r="AA8" s="117">
        <f t="shared" ref="AA8:AA24" si="7">SUM(Y8:Z8)</f>
        <v>0</v>
      </c>
      <c r="AB8" s="118">
        <v>0</v>
      </c>
      <c r="AC8" s="87">
        <v>0</v>
      </c>
      <c r="AD8" s="117">
        <f t="shared" ref="AD8:AD24" si="8">SUM(AB8:AC8)</f>
        <v>0</v>
      </c>
    </row>
    <row r="9" spans="1:30" x14ac:dyDescent="0.25">
      <c r="A9" s="124" t="s">
        <v>13</v>
      </c>
      <c r="B9" s="110" t="s">
        <v>109</v>
      </c>
      <c r="C9" s="113">
        <v>711000</v>
      </c>
      <c r="D9" s="87"/>
      <c r="E9" s="220"/>
      <c r="F9" s="190">
        <f t="shared" si="1"/>
        <v>711000</v>
      </c>
      <c r="G9" s="118">
        <v>0</v>
      </c>
      <c r="H9" s="117">
        <f t="shared" si="0"/>
        <v>0</v>
      </c>
      <c r="I9" s="112">
        <v>0</v>
      </c>
      <c r="J9" s="87">
        <v>0</v>
      </c>
      <c r="K9" s="117">
        <f t="shared" si="2"/>
        <v>0</v>
      </c>
      <c r="L9" s="118">
        <v>0</v>
      </c>
      <c r="M9" s="87">
        <v>0</v>
      </c>
      <c r="N9" s="117">
        <f t="shared" si="3"/>
        <v>0</v>
      </c>
      <c r="O9" s="118">
        <v>0</v>
      </c>
      <c r="P9" s="87">
        <v>0</v>
      </c>
      <c r="Q9" s="87">
        <v>0</v>
      </c>
      <c r="R9" s="117">
        <f t="shared" si="4"/>
        <v>0</v>
      </c>
      <c r="S9" s="118">
        <v>0</v>
      </c>
      <c r="T9" s="87">
        <v>0</v>
      </c>
      <c r="U9" s="87">
        <v>0</v>
      </c>
      <c r="V9" s="117">
        <f t="shared" si="5"/>
        <v>0</v>
      </c>
      <c r="W9" s="118">
        <v>0</v>
      </c>
      <c r="X9" s="117">
        <f t="shared" si="6"/>
        <v>0</v>
      </c>
      <c r="Y9" s="118">
        <v>0</v>
      </c>
      <c r="Z9" s="87">
        <v>0</v>
      </c>
      <c r="AA9" s="117">
        <f t="shared" si="7"/>
        <v>0</v>
      </c>
      <c r="AB9" s="118">
        <v>0</v>
      </c>
      <c r="AC9" s="87">
        <v>0</v>
      </c>
      <c r="AD9" s="117">
        <f t="shared" si="8"/>
        <v>0</v>
      </c>
    </row>
    <row r="10" spans="1:30" x14ac:dyDescent="0.25">
      <c r="A10" s="124" t="s">
        <v>14</v>
      </c>
      <c r="B10" s="110" t="s">
        <v>75</v>
      </c>
      <c r="C10" s="113">
        <v>1100000</v>
      </c>
      <c r="D10" s="87"/>
      <c r="E10" s="220"/>
      <c r="F10" s="190">
        <f t="shared" si="1"/>
        <v>1100000</v>
      </c>
      <c r="G10" s="118">
        <v>0</v>
      </c>
      <c r="H10" s="117">
        <f t="shared" si="0"/>
        <v>0</v>
      </c>
      <c r="I10" s="112">
        <v>0</v>
      </c>
      <c r="J10" s="87">
        <v>0</v>
      </c>
      <c r="K10" s="117">
        <f t="shared" si="2"/>
        <v>0</v>
      </c>
      <c r="L10" s="118">
        <v>0</v>
      </c>
      <c r="M10" s="87">
        <v>0</v>
      </c>
      <c r="N10" s="117">
        <f t="shared" si="3"/>
        <v>0</v>
      </c>
      <c r="O10" s="118">
        <v>0</v>
      </c>
      <c r="P10" s="87">
        <v>0</v>
      </c>
      <c r="Q10" s="87">
        <v>0</v>
      </c>
      <c r="R10" s="117">
        <f t="shared" si="4"/>
        <v>0</v>
      </c>
      <c r="S10" s="118">
        <v>0</v>
      </c>
      <c r="T10" s="87">
        <v>0</v>
      </c>
      <c r="U10" s="87">
        <v>0</v>
      </c>
      <c r="V10" s="117">
        <f t="shared" si="5"/>
        <v>0</v>
      </c>
      <c r="W10" s="118">
        <v>0</v>
      </c>
      <c r="X10" s="117">
        <f t="shared" si="6"/>
        <v>0</v>
      </c>
      <c r="Y10" s="118">
        <v>0</v>
      </c>
      <c r="Z10" s="87">
        <v>0</v>
      </c>
      <c r="AA10" s="117">
        <f t="shared" si="7"/>
        <v>0</v>
      </c>
      <c r="AB10" s="118">
        <v>0</v>
      </c>
      <c r="AC10" s="87">
        <v>0</v>
      </c>
      <c r="AD10" s="117">
        <f t="shared" si="8"/>
        <v>0</v>
      </c>
    </row>
    <row r="11" spans="1:30" x14ac:dyDescent="0.25">
      <c r="A11" s="124" t="s">
        <v>15</v>
      </c>
      <c r="B11" s="110" t="s">
        <v>155</v>
      </c>
      <c r="C11" s="113">
        <v>249382</v>
      </c>
      <c r="D11" s="87">
        <v>38100</v>
      </c>
      <c r="E11" s="220"/>
      <c r="F11" s="190">
        <f t="shared" si="1"/>
        <v>287482</v>
      </c>
      <c r="G11" s="118">
        <v>8334</v>
      </c>
      <c r="H11" s="117">
        <f t="shared" si="0"/>
        <v>8334</v>
      </c>
      <c r="I11" s="112">
        <v>0</v>
      </c>
      <c r="J11" s="87">
        <v>4250</v>
      </c>
      <c r="K11" s="117">
        <f t="shared" si="2"/>
        <v>4250</v>
      </c>
      <c r="L11" s="118">
        <v>5200</v>
      </c>
      <c r="M11" s="87">
        <v>2726</v>
      </c>
      <c r="N11" s="117">
        <f t="shared" si="3"/>
        <v>7926</v>
      </c>
      <c r="O11" s="118">
        <f>12795-12160</f>
        <v>635</v>
      </c>
      <c r="P11" s="87">
        <v>0</v>
      </c>
      <c r="Q11" s="87">
        <v>12580</v>
      </c>
      <c r="R11" s="117">
        <f t="shared" si="4"/>
        <v>13215</v>
      </c>
      <c r="S11" s="118">
        <v>0</v>
      </c>
      <c r="T11" s="87">
        <v>0</v>
      </c>
      <c r="U11" s="87">
        <v>4889</v>
      </c>
      <c r="V11" s="117">
        <f t="shared" si="5"/>
        <v>4889</v>
      </c>
      <c r="W11" s="118">
        <v>14600</v>
      </c>
      <c r="X11" s="117">
        <f t="shared" si="6"/>
        <v>14600</v>
      </c>
      <c r="Y11" s="118">
        <v>1300</v>
      </c>
      <c r="Z11" s="87">
        <v>0</v>
      </c>
      <c r="AA11" s="117">
        <f t="shared" si="7"/>
        <v>1300</v>
      </c>
      <c r="AB11" s="118">
        <v>0</v>
      </c>
      <c r="AC11" s="87">
        <v>0</v>
      </c>
      <c r="AD11" s="117">
        <f t="shared" si="8"/>
        <v>0</v>
      </c>
    </row>
    <row r="12" spans="1:30" x14ac:dyDescent="0.25">
      <c r="A12" s="124" t="s">
        <v>16</v>
      </c>
      <c r="B12" s="110" t="s">
        <v>159</v>
      </c>
      <c r="C12" s="113">
        <v>281000</v>
      </c>
      <c r="D12" s="87"/>
      <c r="E12" s="220"/>
      <c r="F12" s="190">
        <f t="shared" si="1"/>
        <v>281000</v>
      </c>
      <c r="G12" s="118">
        <v>0</v>
      </c>
      <c r="H12" s="117">
        <f t="shared" si="0"/>
        <v>0</v>
      </c>
      <c r="I12" s="112">
        <v>0</v>
      </c>
      <c r="J12" s="87">
        <v>0</v>
      </c>
      <c r="K12" s="117">
        <f t="shared" si="2"/>
        <v>0</v>
      </c>
      <c r="L12" s="118">
        <v>0</v>
      </c>
      <c r="M12" s="87">
        <v>0</v>
      </c>
      <c r="N12" s="117">
        <f t="shared" si="3"/>
        <v>0</v>
      </c>
      <c r="O12" s="118">
        <v>0</v>
      </c>
      <c r="P12" s="87">
        <v>0</v>
      </c>
      <c r="Q12" s="87">
        <v>0</v>
      </c>
      <c r="R12" s="117">
        <f t="shared" si="4"/>
        <v>0</v>
      </c>
      <c r="S12" s="118">
        <v>0</v>
      </c>
      <c r="T12" s="87">
        <v>0</v>
      </c>
      <c r="U12" s="87">
        <v>0</v>
      </c>
      <c r="V12" s="117">
        <f t="shared" si="5"/>
        <v>0</v>
      </c>
      <c r="W12" s="118">
        <v>0</v>
      </c>
      <c r="X12" s="117">
        <f t="shared" si="6"/>
        <v>0</v>
      </c>
      <c r="Y12" s="118">
        <v>0</v>
      </c>
      <c r="Z12" s="87">
        <v>0</v>
      </c>
      <c r="AA12" s="117">
        <f t="shared" si="7"/>
        <v>0</v>
      </c>
      <c r="AB12" s="118">
        <v>0</v>
      </c>
      <c r="AC12" s="87">
        <v>0</v>
      </c>
      <c r="AD12" s="117">
        <f t="shared" si="8"/>
        <v>0</v>
      </c>
    </row>
    <row r="13" spans="1:30" x14ac:dyDescent="0.25">
      <c r="A13" s="124" t="s">
        <v>17</v>
      </c>
      <c r="B13" s="110" t="s">
        <v>78</v>
      </c>
      <c r="C13" s="113">
        <v>0</v>
      </c>
      <c r="D13" s="87"/>
      <c r="E13" s="220"/>
      <c r="F13" s="190">
        <f t="shared" si="1"/>
        <v>0</v>
      </c>
      <c r="G13" s="118">
        <v>0</v>
      </c>
      <c r="H13" s="117">
        <f t="shared" si="0"/>
        <v>0</v>
      </c>
      <c r="I13" s="112">
        <v>0</v>
      </c>
      <c r="J13" s="87">
        <v>0</v>
      </c>
      <c r="K13" s="117">
        <f t="shared" si="2"/>
        <v>0</v>
      </c>
      <c r="L13" s="118">
        <v>0</v>
      </c>
      <c r="M13" s="87">
        <v>0</v>
      </c>
      <c r="N13" s="117">
        <f t="shared" si="3"/>
        <v>0</v>
      </c>
      <c r="O13" s="118">
        <v>0</v>
      </c>
      <c r="P13" s="87">
        <v>0</v>
      </c>
      <c r="Q13" s="87">
        <v>0</v>
      </c>
      <c r="R13" s="117">
        <f t="shared" si="4"/>
        <v>0</v>
      </c>
      <c r="S13" s="118">
        <v>0</v>
      </c>
      <c r="T13" s="87">
        <v>0</v>
      </c>
      <c r="U13" s="87">
        <v>0</v>
      </c>
      <c r="V13" s="117">
        <f t="shared" si="5"/>
        <v>0</v>
      </c>
      <c r="W13" s="118">
        <v>0</v>
      </c>
      <c r="X13" s="117">
        <f t="shared" si="6"/>
        <v>0</v>
      </c>
      <c r="Y13" s="118">
        <v>0</v>
      </c>
      <c r="Z13" s="87">
        <v>0</v>
      </c>
      <c r="AA13" s="117">
        <f t="shared" si="7"/>
        <v>0</v>
      </c>
      <c r="AB13" s="118">
        <v>0</v>
      </c>
      <c r="AC13" s="87">
        <v>0</v>
      </c>
      <c r="AD13" s="117">
        <f t="shared" si="8"/>
        <v>0</v>
      </c>
    </row>
    <row r="14" spans="1:30" x14ac:dyDescent="0.25">
      <c r="A14" s="124" t="s">
        <v>18</v>
      </c>
      <c r="B14" s="110" t="s">
        <v>79</v>
      </c>
      <c r="C14" s="113">
        <v>0</v>
      </c>
      <c r="D14" s="87"/>
      <c r="E14" s="220"/>
      <c r="F14" s="190">
        <f t="shared" si="1"/>
        <v>0</v>
      </c>
      <c r="G14" s="118">
        <v>0</v>
      </c>
      <c r="H14" s="117">
        <f t="shared" si="0"/>
        <v>0</v>
      </c>
      <c r="I14" s="112">
        <v>0</v>
      </c>
      <c r="J14" s="87">
        <v>0</v>
      </c>
      <c r="K14" s="117">
        <f t="shared" si="2"/>
        <v>0</v>
      </c>
      <c r="L14" s="118">
        <v>0</v>
      </c>
      <c r="M14" s="87">
        <v>0</v>
      </c>
      <c r="N14" s="117">
        <f t="shared" si="3"/>
        <v>0</v>
      </c>
      <c r="O14" s="118">
        <v>0</v>
      </c>
      <c r="P14" s="87">
        <v>0</v>
      </c>
      <c r="Q14" s="87">
        <v>0</v>
      </c>
      <c r="R14" s="117">
        <f t="shared" si="4"/>
        <v>0</v>
      </c>
      <c r="S14" s="118">
        <v>0</v>
      </c>
      <c r="T14" s="87">
        <v>0</v>
      </c>
      <c r="U14" s="87">
        <v>0</v>
      </c>
      <c r="V14" s="117">
        <f t="shared" si="5"/>
        <v>0</v>
      </c>
      <c r="W14" s="118">
        <v>0</v>
      </c>
      <c r="X14" s="117">
        <f t="shared" si="6"/>
        <v>0</v>
      </c>
      <c r="Y14" s="118">
        <v>0</v>
      </c>
      <c r="Z14" s="87">
        <v>0</v>
      </c>
      <c r="AA14" s="117">
        <f t="shared" si="7"/>
        <v>0</v>
      </c>
      <c r="AB14" s="118">
        <v>0</v>
      </c>
      <c r="AC14" s="87">
        <v>0</v>
      </c>
      <c r="AD14" s="117">
        <f t="shared" si="8"/>
        <v>0</v>
      </c>
    </row>
    <row r="15" spans="1:30" x14ac:dyDescent="0.25">
      <c r="A15" s="125" t="s">
        <v>19</v>
      </c>
      <c r="B15" s="111" t="s">
        <v>80</v>
      </c>
      <c r="C15" s="118">
        <f>C7+C8+C9+C10+C11+C12+C13+C14</f>
        <v>3259263</v>
      </c>
      <c r="D15" s="87">
        <f>D7+D8+D9+D10+D11+D12+D13+D14</f>
        <v>38100</v>
      </c>
      <c r="E15" s="87">
        <f>E7+E8+E9+E10+E11+E12+E13+E14</f>
        <v>14144</v>
      </c>
      <c r="F15" s="190">
        <f t="shared" si="1"/>
        <v>3311507</v>
      </c>
      <c r="G15" s="118">
        <f>G7+G8+G9+G10+G11+G12+G13+G14</f>
        <v>8334</v>
      </c>
      <c r="H15" s="117">
        <f t="shared" si="0"/>
        <v>8334</v>
      </c>
      <c r="I15" s="112">
        <f>I7+I8+I9+I10+I11+I12+I13+I14</f>
        <v>0</v>
      </c>
      <c r="J15" s="87">
        <v>4250</v>
      </c>
      <c r="K15" s="117">
        <f t="shared" si="2"/>
        <v>4250</v>
      </c>
      <c r="L15" s="118">
        <f>L7+L8+L9+L10+L11+L12+L13+L14</f>
        <v>5200</v>
      </c>
      <c r="M15" s="87">
        <f>M7+M8+M9+M10+M11+M12+M13+M14</f>
        <v>2726</v>
      </c>
      <c r="N15" s="117">
        <f t="shared" si="3"/>
        <v>7926</v>
      </c>
      <c r="O15" s="118">
        <f>O7+O8+O9+O10+O11+O12+O13+O14</f>
        <v>635</v>
      </c>
      <c r="P15" s="87">
        <f>P7+P8+P9+P10+P11+P12+P13+P14</f>
        <v>0</v>
      </c>
      <c r="Q15" s="87">
        <f>Q7+Q8+Q9+Q10+Q11+Q12+Q13+Q14</f>
        <v>12580</v>
      </c>
      <c r="R15" s="117">
        <f t="shared" si="4"/>
        <v>13215</v>
      </c>
      <c r="S15" s="118">
        <v>0</v>
      </c>
      <c r="T15" s="87">
        <f>T7+T8+T9+T10+T11+T12+T13+T14</f>
        <v>0</v>
      </c>
      <c r="U15" s="87">
        <f>U7+U8+U9+U10+U11+U12+U13+U14</f>
        <v>4889</v>
      </c>
      <c r="V15" s="117">
        <f t="shared" si="5"/>
        <v>4889</v>
      </c>
      <c r="W15" s="118">
        <f>W7+W8+W9+W10+W11+W12+W13+W14</f>
        <v>18600</v>
      </c>
      <c r="X15" s="117">
        <f t="shared" si="6"/>
        <v>18600</v>
      </c>
      <c r="Y15" s="118">
        <f>Y7+Y8+Y9+Y10+Y11+Y12+Y13+Y14</f>
        <v>1300</v>
      </c>
      <c r="Z15" s="118">
        <f>Z7+Z8+Z9+Z10+Z11+Z12+Z13+Z14</f>
        <v>0</v>
      </c>
      <c r="AA15" s="117">
        <f t="shared" si="7"/>
        <v>1300</v>
      </c>
      <c r="AB15" s="118">
        <v>0</v>
      </c>
      <c r="AC15" s="87">
        <v>0</v>
      </c>
      <c r="AD15" s="117">
        <f t="shared" si="8"/>
        <v>0</v>
      </c>
    </row>
    <row r="16" spans="1:30" x14ac:dyDescent="0.25">
      <c r="A16" s="124" t="s">
        <v>20</v>
      </c>
      <c r="B16" s="110" t="s">
        <v>81</v>
      </c>
      <c r="C16" s="113">
        <v>350000</v>
      </c>
      <c r="D16" s="87"/>
      <c r="E16" s="220"/>
      <c r="F16" s="190">
        <f t="shared" si="1"/>
        <v>350000</v>
      </c>
      <c r="G16" s="118">
        <v>0</v>
      </c>
      <c r="H16" s="117">
        <f t="shared" si="0"/>
        <v>0</v>
      </c>
      <c r="I16" s="112">
        <v>0</v>
      </c>
      <c r="J16" s="87">
        <v>0</v>
      </c>
      <c r="K16" s="117">
        <f t="shared" si="2"/>
        <v>0</v>
      </c>
      <c r="L16" s="118">
        <v>0</v>
      </c>
      <c r="M16" s="87">
        <v>0</v>
      </c>
      <c r="N16" s="117">
        <f t="shared" si="3"/>
        <v>0</v>
      </c>
      <c r="O16" s="118">
        <v>0</v>
      </c>
      <c r="P16" s="87">
        <v>0</v>
      </c>
      <c r="Q16" s="87">
        <v>0</v>
      </c>
      <c r="R16" s="117">
        <f t="shared" si="4"/>
        <v>0</v>
      </c>
      <c r="S16" s="118">
        <v>0</v>
      </c>
      <c r="T16" s="87">
        <v>0</v>
      </c>
      <c r="U16" s="87">
        <v>0</v>
      </c>
      <c r="V16" s="117">
        <f t="shared" si="5"/>
        <v>0</v>
      </c>
      <c r="W16" s="118">
        <v>0</v>
      </c>
      <c r="X16" s="117">
        <f t="shared" si="6"/>
        <v>0</v>
      </c>
      <c r="Y16" s="118">
        <v>0</v>
      </c>
      <c r="Z16" s="87">
        <v>0</v>
      </c>
      <c r="AA16" s="117">
        <f t="shared" si="7"/>
        <v>0</v>
      </c>
      <c r="AB16" s="118">
        <v>0</v>
      </c>
      <c r="AC16" s="87">
        <v>0</v>
      </c>
      <c r="AD16" s="117">
        <f t="shared" si="8"/>
        <v>0</v>
      </c>
    </row>
    <row r="17" spans="1:30" x14ac:dyDescent="0.25">
      <c r="A17" s="124" t="s">
        <v>21</v>
      </c>
      <c r="B17" s="110" t="s">
        <v>82</v>
      </c>
      <c r="C17" s="113">
        <v>0</v>
      </c>
      <c r="D17" s="87"/>
      <c r="E17" s="220"/>
      <c r="F17" s="190">
        <f t="shared" si="1"/>
        <v>0</v>
      </c>
      <c r="G17" s="118">
        <v>0</v>
      </c>
      <c r="H17" s="117">
        <f t="shared" si="0"/>
        <v>0</v>
      </c>
      <c r="I17" s="112">
        <v>0</v>
      </c>
      <c r="J17" s="87">
        <v>0</v>
      </c>
      <c r="K17" s="117">
        <f t="shared" si="2"/>
        <v>0</v>
      </c>
      <c r="L17" s="118">
        <v>0</v>
      </c>
      <c r="M17" s="87">
        <v>0</v>
      </c>
      <c r="N17" s="117">
        <f t="shared" si="3"/>
        <v>0</v>
      </c>
      <c r="O17" s="118">
        <v>0</v>
      </c>
      <c r="P17" s="87">
        <v>0</v>
      </c>
      <c r="Q17" s="87">
        <v>0</v>
      </c>
      <c r="R17" s="117">
        <f t="shared" si="4"/>
        <v>0</v>
      </c>
      <c r="S17" s="118">
        <v>0</v>
      </c>
      <c r="T17" s="87">
        <v>0</v>
      </c>
      <c r="U17" s="87">
        <v>0</v>
      </c>
      <c r="V17" s="117">
        <f t="shared" si="5"/>
        <v>0</v>
      </c>
      <c r="W17" s="118">
        <v>0</v>
      </c>
      <c r="X17" s="117">
        <f t="shared" si="6"/>
        <v>0</v>
      </c>
      <c r="Y17" s="118">
        <v>0</v>
      </c>
      <c r="Z17" s="87">
        <v>0</v>
      </c>
      <c r="AA17" s="117">
        <f t="shared" si="7"/>
        <v>0</v>
      </c>
      <c r="AB17" s="118">
        <v>0</v>
      </c>
      <c r="AC17" s="87">
        <v>0</v>
      </c>
      <c r="AD17" s="117">
        <f t="shared" si="8"/>
        <v>0</v>
      </c>
    </row>
    <row r="18" spans="1:30" x14ac:dyDescent="0.25">
      <c r="A18" s="124" t="s">
        <v>22</v>
      </c>
      <c r="B18" s="110" t="s">
        <v>152</v>
      </c>
      <c r="C18" s="113">
        <v>326000</v>
      </c>
      <c r="D18" s="87"/>
      <c r="E18" s="220"/>
      <c r="F18" s="190">
        <f t="shared" si="1"/>
        <v>326000</v>
      </c>
      <c r="G18" s="118">
        <v>0</v>
      </c>
      <c r="H18" s="117">
        <f t="shared" si="0"/>
        <v>0</v>
      </c>
      <c r="I18" s="112">
        <v>0</v>
      </c>
      <c r="J18" s="87">
        <v>0</v>
      </c>
      <c r="K18" s="117">
        <f t="shared" si="2"/>
        <v>0</v>
      </c>
      <c r="L18" s="118">
        <v>0</v>
      </c>
      <c r="M18" s="87">
        <v>0</v>
      </c>
      <c r="N18" s="117">
        <f t="shared" si="3"/>
        <v>0</v>
      </c>
      <c r="O18" s="118">
        <v>0</v>
      </c>
      <c r="P18" s="87">
        <v>0</v>
      </c>
      <c r="Q18" s="87">
        <v>0</v>
      </c>
      <c r="R18" s="117">
        <f t="shared" si="4"/>
        <v>0</v>
      </c>
      <c r="S18" s="118">
        <v>0</v>
      </c>
      <c r="T18" s="87">
        <v>0</v>
      </c>
      <c r="U18" s="87">
        <v>0</v>
      </c>
      <c r="V18" s="117">
        <f t="shared" si="5"/>
        <v>0</v>
      </c>
      <c r="W18" s="118">
        <v>0</v>
      </c>
      <c r="X18" s="117">
        <f t="shared" si="6"/>
        <v>0</v>
      </c>
      <c r="Y18" s="118">
        <v>0</v>
      </c>
      <c r="Z18" s="87">
        <v>0</v>
      </c>
      <c r="AA18" s="117">
        <f t="shared" si="7"/>
        <v>0</v>
      </c>
      <c r="AB18" s="118">
        <v>0</v>
      </c>
      <c r="AC18" s="87">
        <v>0</v>
      </c>
      <c r="AD18" s="117">
        <f t="shared" si="8"/>
        <v>0</v>
      </c>
    </row>
    <row r="19" spans="1:30" x14ac:dyDescent="0.25">
      <c r="A19" s="124" t="s">
        <v>23</v>
      </c>
      <c r="B19" s="110" t="s">
        <v>83</v>
      </c>
      <c r="C19" s="113">
        <v>0</v>
      </c>
      <c r="D19" s="87"/>
      <c r="E19" s="220"/>
      <c r="F19" s="190">
        <f t="shared" si="1"/>
        <v>0</v>
      </c>
      <c r="G19" s="118">
        <v>384636</v>
      </c>
      <c r="H19" s="117">
        <f t="shared" si="0"/>
        <v>384636</v>
      </c>
      <c r="I19" s="112">
        <v>57823</v>
      </c>
      <c r="J19" s="87">
        <v>2964</v>
      </c>
      <c r="K19" s="117">
        <f t="shared" si="2"/>
        <v>60787</v>
      </c>
      <c r="L19" s="118">
        <v>93151</v>
      </c>
      <c r="M19" s="87">
        <v>7434</v>
      </c>
      <c r="N19" s="117">
        <f t="shared" si="3"/>
        <v>100585</v>
      </c>
      <c r="O19" s="118">
        <v>196691</v>
      </c>
      <c r="P19" s="87">
        <v>11161</v>
      </c>
      <c r="Q19" s="87">
        <v>35680</v>
      </c>
      <c r="R19" s="117">
        <f t="shared" si="4"/>
        <v>243532</v>
      </c>
      <c r="S19" s="118">
        <v>141197</v>
      </c>
      <c r="T19" s="87">
        <v>9626</v>
      </c>
      <c r="U19" s="87">
        <v>24321</v>
      </c>
      <c r="V19" s="117">
        <f t="shared" si="5"/>
        <v>175144</v>
      </c>
      <c r="W19" s="118">
        <v>30529</v>
      </c>
      <c r="X19" s="117">
        <f t="shared" si="6"/>
        <v>30529</v>
      </c>
      <c r="Y19" s="118">
        <v>21878</v>
      </c>
      <c r="Z19" s="87">
        <v>1575</v>
      </c>
      <c r="AA19" s="117">
        <f t="shared" si="7"/>
        <v>23453</v>
      </c>
      <c r="AB19" s="118">
        <v>33740</v>
      </c>
      <c r="AC19" s="87">
        <v>28530</v>
      </c>
      <c r="AD19" s="117">
        <f t="shared" si="8"/>
        <v>62270</v>
      </c>
    </row>
    <row r="20" spans="1:30" x14ac:dyDescent="0.25">
      <c r="A20" s="124"/>
      <c r="B20" s="110" t="s">
        <v>213</v>
      </c>
      <c r="C20" s="113">
        <v>0</v>
      </c>
      <c r="D20" s="87"/>
      <c r="E20" s="220"/>
      <c r="F20" s="190">
        <f t="shared" si="1"/>
        <v>0</v>
      </c>
      <c r="G20" s="118">
        <v>384636</v>
      </c>
      <c r="H20" s="117">
        <f t="shared" si="0"/>
        <v>384636</v>
      </c>
      <c r="I20" s="112">
        <v>57823</v>
      </c>
      <c r="J20" s="87">
        <v>2964</v>
      </c>
      <c r="K20" s="117">
        <f t="shared" si="2"/>
        <v>60787</v>
      </c>
      <c r="L20" s="118">
        <v>93151</v>
      </c>
      <c r="M20" s="87">
        <v>7434</v>
      </c>
      <c r="N20" s="117">
        <f t="shared" si="3"/>
        <v>100585</v>
      </c>
      <c r="O20" s="118">
        <v>196691</v>
      </c>
      <c r="P20" s="87">
        <v>11161</v>
      </c>
      <c r="Q20" s="87">
        <v>35680</v>
      </c>
      <c r="R20" s="117">
        <f t="shared" si="4"/>
        <v>243532</v>
      </c>
      <c r="S20" s="118">
        <v>141197</v>
      </c>
      <c r="T20" s="87">
        <v>9626</v>
      </c>
      <c r="U20" s="87">
        <v>24321</v>
      </c>
      <c r="V20" s="117">
        <f t="shared" si="5"/>
        <v>175144</v>
      </c>
      <c r="W20" s="118">
        <v>30529</v>
      </c>
      <c r="X20" s="117">
        <f t="shared" si="6"/>
        <v>30529</v>
      </c>
      <c r="Y20" s="118">
        <v>21878</v>
      </c>
      <c r="Z20" s="87">
        <v>1575</v>
      </c>
      <c r="AA20" s="117">
        <f t="shared" si="7"/>
        <v>23453</v>
      </c>
      <c r="AB20" s="118">
        <v>33740</v>
      </c>
      <c r="AC20" s="87">
        <v>28530</v>
      </c>
      <c r="AD20" s="117">
        <f t="shared" si="8"/>
        <v>62270</v>
      </c>
    </row>
    <row r="21" spans="1:30" x14ac:dyDescent="0.25">
      <c r="A21" s="124" t="s">
        <v>24</v>
      </c>
      <c r="B21" s="110" t="s">
        <v>85</v>
      </c>
      <c r="C21" s="113">
        <v>0</v>
      </c>
      <c r="D21" s="87"/>
      <c r="E21" s="220"/>
      <c r="F21" s="190">
        <f t="shared" si="1"/>
        <v>0</v>
      </c>
      <c r="G21" s="118">
        <v>0</v>
      </c>
      <c r="H21" s="117">
        <f t="shared" si="0"/>
        <v>0</v>
      </c>
      <c r="I21" s="112">
        <v>0</v>
      </c>
      <c r="J21" s="87">
        <v>0</v>
      </c>
      <c r="K21" s="117">
        <f t="shared" si="2"/>
        <v>0</v>
      </c>
      <c r="L21" s="118">
        <v>0</v>
      </c>
      <c r="M21" s="87">
        <v>0</v>
      </c>
      <c r="N21" s="117">
        <f t="shared" si="3"/>
        <v>0</v>
      </c>
      <c r="O21" s="118">
        <v>0</v>
      </c>
      <c r="P21" s="87">
        <v>0</v>
      </c>
      <c r="Q21" s="87">
        <v>0</v>
      </c>
      <c r="R21" s="117">
        <f t="shared" si="4"/>
        <v>0</v>
      </c>
      <c r="S21" s="118">
        <v>0</v>
      </c>
      <c r="T21" s="87">
        <v>0</v>
      </c>
      <c r="U21" s="87">
        <v>0</v>
      </c>
      <c r="V21" s="117">
        <f t="shared" si="5"/>
        <v>0</v>
      </c>
      <c r="W21" s="118">
        <v>0</v>
      </c>
      <c r="X21" s="117">
        <f t="shared" si="6"/>
        <v>0</v>
      </c>
      <c r="Y21" s="118">
        <v>0</v>
      </c>
      <c r="Z21" s="87">
        <v>0</v>
      </c>
      <c r="AA21" s="117">
        <f t="shared" si="7"/>
        <v>0</v>
      </c>
      <c r="AB21" s="118">
        <v>0</v>
      </c>
      <c r="AC21" s="87">
        <v>0</v>
      </c>
      <c r="AD21" s="117">
        <f t="shared" si="8"/>
        <v>0</v>
      </c>
    </row>
    <row r="22" spans="1:30" ht="23.25" x14ac:dyDescent="0.25">
      <c r="A22" s="124" t="s">
        <v>25</v>
      </c>
      <c r="B22" s="110" t="s">
        <v>86</v>
      </c>
      <c r="C22" s="113">
        <v>0</v>
      </c>
      <c r="D22" s="87"/>
      <c r="E22" s="220"/>
      <c r="F22" s="190">
        <f t="shared" si="1"/>
        <v>0</v>
      </c>
      <c r="G22" s="118">
        <v>0</v>
      </c>
      <c r="H22" s="117">
        <f t="shared" si="0"/>
        <v>0</v>
      </c>
      <c r="I22" s="112">
        <v>0</v>
      </c>
      <c r="J22" s="87">
        <v>0</v>
      </c>
      <c r="K22" s="117">
        <f t="shared" si="2"/>
        <v>0</v>
      </c>
      <c r="L22" s="118">
        <v>0</v>
      </c>
      <c r="M22" s="87">
        <v>0</v>
      </c>
      <c r="N22" s="117">
        <f t="shared" si="3"/>
        <v>0</v>
      </c>
      <c r="O22" s="118">
        <v>0</v>
      </c>
      <c r="P22" s="87">
        <v>0</v>
      </c>
      <c r="Q22" s="87">
        <v>0</v>
      </c>
      <c r="R22" s="117">
        <f t="shared" si="4"/>
        <v>0</v>
      </c>
      <c r="S22" s="118">
        <v>0</v>
      </c>
      <c r="T22" s="87">
        <v>0</v>
      </c>
      <c r="U22" s="87">
        <v>0</v>
      </c>
      <c r="V22" s="117">
        <f t="shared" si="5"/>
        <v>0</v>
      </c>
      <c r="W22" s="118">
        <v>0</v>
      </c>
      <c r="X22" s="117">
        <f t="shared" si="6"/>
        <v>0</v>
      </c>
      <c r="Y22" s="118">
        <v>0</v>
      </c>
      <c r="Z22" s="87">
        <v>0</v>
      </c>
      <c r="AA22" s="117">
        <f t="shared" si="7"/>
        <v>0</v>
      </c>
      <c r="AB22" s="118">
        <v>0</v>
      </c>
      <c r="AC22" s="87">
        <v>0</v>
      </c>
      <c r="AD22" s="117">
        <f t="shared" si="8"/>
        <v>0</v>
      </c>
    </row>
    <row r="23" spans="1:30" x14ac:dyDescent="0.25">
      <c r="A23" s="124" t="s">
        <v>26</v>
      </c>
      <c r="B23" s="111" t="s">
        <v>87</v>
      </c>
      <c r="C23" s="118">
        <f>C16+C17+C18+C19+C21+C22</f>
        <v>676000</v>
      </c>
      <c r="D23" s="87"/>
      <c r="E23" s="220"/>
      <c r="F23" s="190">
        <f t="shared" si="1"/>
        <v>676000</v>
      </c>
      <c r="G23" s="118">
        <f>G16+G17+G18+G19+G21+G22</f>
        <v>384636</v>
      </c>
      <c r="H23" s="117">
        <f t="shared" si="0"/>
        <v>384636</v>
      </c>
      <c r="I23" s="112">
        <f>I16+I17+I18+I19+I21+I22</f>
        <v>57823</v>
      </c>
      <c r="J23" s="87">
        <f>J16+J17+J18+J19+J21+J22</f>
        <v>2964</v>
      </c>
      <c r="K23" s="117">
        <f t="shared" si="2"/>
        <v>60787</v>
      </c>
      <c r="L23" s="118">
        <f>L16+L17+L18+L19+L21+L22</f>
        <v>93151</v>
      </c>
      <c r="M23" s="87">
        <f>M16+M17+M18+M19+M21+M22</f>
        <v>7434</v>
      </c>
      <c r="N23" s="117">
        <f t="shared" si="3"/>
        <v>100585</v>
      </c>
      <c r="O23" s="118">
        <f>O16+O17+O18+O19+O21+O22</f>
        <v>196691</v>
      </c>
      <c r="P23" s="87">
        <f>P16+P17+P18+P19+P21+P22</f>
        <v>11161</v>
      </c>
      <c r="Q23" s="87">
        <f>Q16+Q17+Q18+Q19+Q21+Q22</f>
        <v>35680</v>
      </c>
      <c r="R23" s="117">
        <f t="shared" si="4"/>
        <v>243532</v>
      </c>
      <c r="S23" s="118">
        <f>S16+S17+S18+S19+S21+S22</f>
        <v>141197</v>
      </c>
      <c r="T23" s="87">
        <f>T16+T17+T18+T19+T21+T22</f>
        <v>9626</v>
      </c>
      <c r="U23" s="87">
        <f>U16+U17+U18+U19+U21+U22</f>
        <v>24321</v>
      </c>
      <c r="V23" s="117">
        <f t="shared" si="5"/>
        <v>175144</v>
      </c>
      <c r="W23" s="118">
        <f>W16+W17+W18+W19+W21+W22</f>
        <v>30529</v>
      </c>
      <c r="X23" s="117">
        <f t="shared" si="6"/>
        <v>30529</v>
      </c>
      <c r="Y23" s="118">
        <f>Y16+Y17+Y18+Y19+Y21+Y22</f>
        <v>21878</v>
      </c>
      <c r="Z23" s="87">
        <f>Z16+Z17+Z18+Z19+Z21+Z22</f>
        <v>1575</v>
      </c>
      <c r="AA23" s="117">
        <f t="shared" si="7"/>
        <v>23453</v>
      </c>
      <c r="AB23" s="118">
        <f>AB16+AB17+AB18+AB19+AB21+AB22</f>
        <v>33740</v>
      </c>
      <c r="AC23" s="87">
        <f>AC16+AC17+AC18+AC19+AC21+AC22</f>
        <v>28530</v>
      </c>
      <c r="AD23" s="117">
        <f t="shared" si="8"/>
        <v>62270</v>
      </c>
    </row>
    <row r="24" spans="1:30" ht="24" thickBot="1" x14ac:dyDescent="0.3">
      <c r="A24" s="126" t="s">
        <v>27</v>
      </c>
      <c r="B24" s="127" t="s">
        <v>88</v>
      </c>
      <c r="C24" s="121">
        <f>C15+C23</f>
        <v>3935263</v>
      </c>
      <c r="D24" s="122">
        <f>D15+D23</f>
        <v>38100</v>
      </c>
      <c r="E24" s="122">
        <f>E15+E23</f>
        <v>14144</v>
      </c>
      <c r="F24" s="190">
        <f t="shared" si="1"/>
        <v>3987507</v>
      </c>
      <c r="G24" s="121">
        <f>G15+G23</f>
        <v>392970</v>
      </c>
      <c r="H24" s="119">
        <f t="shared" si="0"/>
        <v>392970</v>
      </c>
      <c r="I24" s="123">
        <f>I15+I23</f>
        <v>57823</v>
      </c>
      <c r="J24" s="122">
        <f>J15+J23</f>
        <v>7214</v>
      </c>
      <c r="K24" s="119">
        <f t="shared" si="2"/>
        <v>65037</v>
      </c>
      <c r="L24" s="121">
        <f>L15+L23</f>
        <v>98351</v>
      </c>
      <c r="M24" s="122">
        <f>M15+M23</f>
        <v>10160</v>
      </c>
      <c r="N24" s="119">
        <f t="shared" si="3"/>
        <v>108511</v>
      </c>
      <c r="O24" s="121">
        <f>O15+O23</f>
        <v>197326</v>
      </c>
      <c r="P24" s="122">
        <f>P15+P23</f>
        <v>11161</v>
      </c>
      <c r="Q24" s="122">
        <f>Q15+Q23</f>
        <v>48260</v>
      </c>
      <c r="R24" s="119">
        <f t="shared" si="4"/>
        <v>256747</v>
      </c>
      <c r="S24" s="121">
        <f>S15+S23</f>
        <v>141197</v>
      </c>
      <c r="T24" s="122">
        <f>T15+T23</f>
        <v>9626</v>
      </c>
      <c r="U24" s="122">
        <f>U15+U23</f>
        <v>29210</v>
      </c>
      <c r="V24" s="119">
        <f t="shared" si="5"/>
        <v>180033</v>
      </c>
      <c r="W24" s="121">
        <f>W15+W23</f>
        <v>49129</v>
      </c>
      <c r="X24" s="119">
        <f t="shared" si="6"/>
        <v>49129</v>
      </c>
      <c r="Y24" s="121">
        <f>Y15+Y23</f>
        <v>23178</v>
      </c>
      <c r="Z24" s="122">
        <f>Z15+Z23</f>
        <v>1575</v>
      </c>
      <c r="AA24" s="119">
        <f t="shared" si="7"/>
        <v>24753</v>
      </c>
      <c r="AB24" s="121">
        <f>AB15+AB23</f>
        <v>33740</v>
      </c>
      <c r="AC24" s="122">
        <f>AC15+AC23</f>
        <v>28530</v>
      </c>
      <c r="AD24" s="119">
        <f t="shared" si="8"/>
        <v>62270</v>
      </c>
    </row>
    <row r="25" spans="1:30" x14ac:dyDescent="0.25">
      <c r="A25" s="60"/>
      <c r="B25" s="22"/>
      <c r="C25" s="24"/>
      <c r="D25" s="24"/>
      <c r="E25" s="24"/>
      <c r="F25" s="61"/>
      <c r="AB25" s="106"/>
      <c r="AC25" s="106"/>
      <c r="AD25" s="106"/>
    </row>
    <row r="26" spans="1:30" ht="15.75" thickBot="1" x14ac:dyDescent="0.3">
      <c r="A26" s="104"/>
      <c r="B26" s="25"/>
      <c r="C26" s="30"/>
      <c r="D26" s="23"/>
      <c r="E26" s="23"/>
      <c r="F26" s="23"/>
      <c r="AB26" s="106"/>
      <c r="AC26" s="106"/>
      <c r="AD26" s="106"/>
    </row>
    <row r="27" spans="1:30" s="134" customFormat="1" ht="26.25" customHeight="1" thickBot="1" x14ac:dyDescent="0.3">
      <c r="A27" s="150"/>
      <c r="B27" s="151" t="s">
        <v>5</v>
      </c>
      <c r="C27" s="1186" t="s">
        <v>216</v>
      </c>
      <c r="D27" s="1187"/>
      <c r="E27" s="1188"/>
      <c r="F27" s="1189"/>
      <c r="G27" s="1190" t="s">
        <v>253</v>
      </c>
      <c r="H27" s="1191"/>
      <c r="I27" s="1186" t="s">
        <v>254</v>
      </c>
      <c r="J27" s="1187"/>
      <c r="K27" s="1189"/>
      <c r="L27" s="1186" t="s">
        <v>255</v>
      </c>
      <c r="M27" s="1187"/>
      <c r="N27" s="1189"/>
      <c r="O27" s="1186" t="s">
        <v>256</v>
      </c>
      <c r="P27" s="1187"/>
      <c r="Q27" s="1187"/>
      <c r="R27" s="1189"/>
      <c r="S27" s="1186" t="s">
        <v>257</v>
      </c>
      <c r="T27" s="1187"/>
      <c r="U27" s="1187"/>
      <c r="V27" s="1189"/>
      <c r="W27" s="1186" t="s">
        <v>111</v>
      </c>
      <c r="X27" s="1189"/>
      <c r="Y27" s="1186" t="s">
        <v>38</v>
      </c>
      <c r="Z27" s="1187"/>
      <c r="AA27" s="1189"/>
      <c r="AB27" s="1192" t="s">
        <v>288</v>
      </c>
      <c r="AC27" s="1193"/>
      <c r="AD27" s="1194"/>
    </row>
    <row r="28" spans="1:30" s="105" customFormat="1" ht="79.5" thickBot="1" x14ac:dyDescent="0.3">
      <c r="A28" s="135" t="s">
        <v>110</v>
      </c>
      <c r="B28" s="149" t="s">
        <v>31</v>
      </c>
      <c r="C28" s="145" t="s">
        <v>266</v>
      </c>
      <c r="D28" s="146" t="s">
        <v>260</v>
      </c>
      <c r="E28" s="146" t="s">
        <v>334</v>
      </c>
      <c r="F28" s="147" t="s">
        <v>182</v>
      </c>
      <c r="G28" s="160" t="s">
        <v>266</v>
      </c>
      <c r="H28" s="159" t="s">
        <v>186</v>
      </c>
      <c r="I28" s="145" t="s">
        <v>261</v>
      </c>
      <c r="J28" s="146" t="s">
        <v>262</v>
      </c>
      <c r="K28" s="148" t="s">
        <v>186</v>
      </c>
      <c r="L28" s="145" t="s">
        <v>261</v>
      </c>
      <c r="M28" s="146" t="s">
        <v>262</v>
      </c>
      <c r="N28" s="149" t="s">
        <v>186</v>
      </c>
      <c r="O28" s="145" t="s">
        <v>258</v>
      </c>
      <c r="P28" s="146" t="s">
        <v>259</v>
      </c>
      <c r="Q28" s="146" t="s">
        <v>260</v>
      </c>
      <c r="R28" s="149" t="s">
        <v>186</v>
      </c>
      <c r="S28" s="145" t="s">
        <v>258</v>
      </c>
      <c r="T28" s="146" t="s">
        <v>259</v>
      </c>
      <c r="U28" s="146" t="s">
        <v>260</v>
      </c>
      <c r="V28" s="149" t="s">
        <v>186</v>
      </c>
      <c r="W28" s="145" t="s">
        <v>265</v>
      </c>
      <c r="X28" s="149" t="s">
        <v>186</v>
      </c>
      <c r="Y28" s="145" t="s">
        <v>263</v>
      </c>
      <c r="Z28" s="146" t="s">
        <v>264</v>
      </c>
      <c r="AA28" s="148" t="s">
        <v>186</v>
      </c>
      <c r="AB28" s="146" t="s">
        <v>289</v>
      </c>
      <c r="AC28" s="146" t="s">
        <v>290</v>
      </c>
      <c r="AD28" s="161" t="s">
        <v>186</v>
      </c>
    </row>
    <row r="29" spans="1:30" x14ac:dyDescent="0.25">
      <c r="A29" s="152" t="s">
        <v>11</v>
      </c>
      <c r="B29" s="153" t="s">
        <v>90</v>
      </c>
      <c r="C29" s="139">
        <f>C30+C31+C32+C33+C34+C35</f>
        <v>1104360</v>
      </c>
      <c r="D29" s="139">
        <f>D30+D31+D32+D33+D34+D35</f>
        <v>115570</v>
      </c>
      <c r="E29" s="139">
        <f>E30+E31+E32+E33+E34+E35</f>
        <v>14144</v>
      </c>
      <c r="F29" s="197">
        <f>SUM(C29:E29)</f>
        <v>1234074</v>
      </c>
      <c r="G29" s="202">
        <f>G30+G31+G32+G33+G34+G35</f>
        <v>386620</v>
      </c>
      <c r="H29" s="193">
        <f t="shared" ref="H29:H47" si="9">SUM(G29:G29)</f>
        <v>386620</v>
      </c>
      <c r="I29" s="198">
        <f>I30+I31+I32+I33+I34+I35</f>
        <v>57823</v>
      </c>
      <c r="J29" s="156">
        <f>J30+J31+J32+J33+J34+J35</f>
        <v>7214</v>
      </c>
      <c r="K29" s="142">
        <f>SUM(I29:J29)</f>
        <v>65037</v>
      </c>
      <c r="L29" s="155">
        <f>L30+L31+L32+L33+L34+L35</f>
        <v>98351</v>
      </c>
      <c r="M29" s="156">
        <f>M30+M31+M32+M33+M34+M35</f>
        <v>10160</v>
      </c>
      <c r="N29" s="142">
        <f>SUM(L29:M29)</f>
        <v>108511</v>
      </c>
      <c r="O29" s="154">
        <f>O30+O31+O32+O33+O34+O35</f>
        <v>197326</v>
      </c>
      <c r="P29" s="156">
        <f>P30+P31+P32+P33+P34+P35</f>
        <v>11161</v>
      </c>
      <c r="Q29" s="156">
        <f>Q30+Q31+Q32+Q33+Q34+Q35</f>
        <v>48260</v>
      </c>
      <c r="R29" s="142">
        <f>O29+P29+Q29</f>
        <v>256747</v>
      </c>
      <c r="S29" s="154">
        <f>S30+S31+S32+S33+S34+S35</f>
        <v>141197</v>
      </c>
      <c r="T29" s="156">
        <f>T30+T31+T32+T33+T34+T35</f>
        <v>9626</v>
      </c>
      <c r="U29" s="156">
        <f>U30+U31+U32+U33+U34+U35</f>
        <v>29210</v>
      </c>
      <c r="V29" s="142">
        <f>S29+T29+U29</f>
        <v>180033</v>
      </c>
      <c r="W29" s="154">
        <f>W30+W31+W32+W33+W34+W35</f>
        <v>49129</v>
      </c>
      <c r="X29" s="142">
        <f>SUM(W29)</f>
        <v>49129</v>
      </c>
      <c r="Y29" s="154">
        <f>Y30+Y31+Y32+Y33+Y34+Y35</f>
        <v>23178</v>
      </c>
      <c r="Z29" s="156">
        <f>Z30+Z31+Z32+Z33+Z34+Z35</f>
        <v>0</v>
      </c>
      <c r="AA29" s="142">
        <f>SUM(Y29:Z29)</f>
        <v>23178</v>
      </c>
      <c r="AB29" s="154">
        <f>AB30+AB31+AB32+AB33+AB34+AB35</f>
        <v>33740</v>
      </c>
      <c r="AC29" s="156">
        <f>AC30+AC31+AC32+AC33+AC34+AC35</f>
        <v>28530</v>
      </c>
      <c r="AD29" s="142">
        <f>SUM(AB29:AC29)</f>
        <v>62270</v>
      </c>
    </row>
    <row r="30" spans="1:30" x14ac:dyDescent="0.25">
      <c r="A30" s="124" t="s">
        <v>53</v>
      </c>
      <c r="B30" s="128" t="s">
        <v>151</v>
      </c>
      <c r="C30" s="113">
        <v>64448</v>
      </c>
      <c r="D30" s="14">
        <v>0</v>
      </c>
      <c r="E30" s="221">
        <v>11986</v>
      </c>
      <c r="F30" s="197">
        <f t="shared" ref="F30:F47" si="10">SUM(C30:E30)</f>
        <v>76434</v>
      </c>
      <c r="G30" s="114">
        <v>262834</v>
      </c>
      <c r="H30" s="117">
        <f t="shared" si="9"/>
        <v>262834</v>
      </c>
      <c r="I30" s="199">
        <v>42865</v>
      </c>
      <c r="J30" s="14">
        <v>0</v>
      </c>
      <c r="K30" s="117">
        <f t="shared" ref="K30:K47" si="11">SUM(I30:J30)</f>
        <v>42865</v>
      </c>
      <c r="L30" s="114">
        <v>73561</v>
      </c>
      <c r="M30" s="14">
        <v>0</v>
      </c>
      <c r="N30" s="117">
        <f t="shared" ref="N30:N47" si="12">SUM(L30:M30)</f>
        <v>73561</v>
      </c>
      <c r="O30" s="114">
        <v>160256</v>
      </c>
      <c r="P30" s="14">
        <v>0</v>
      </c>
      <c r="Q30" s="14">
        <v>0</v>
      </c>
      <c r="R30" s="117">
        <f t="shared" ref="R30:R47" si="13">O30+P30+Q30</f>
        <v>160256</v>
      </c>
      <c r="S30" s="114">
        <v>117836</v>
      </c>
      <c r="T30" s="14">
        <v>0</v>
      </c>
      <c r="U30" s="14">
        <v>0</v>
      </c>
      <c r="V30" s="117">
        <f t="shared" ref="V30:V47" si="14">S30+T30+U30</f>
        <v>117836</v>
      </c>
      <c r="W30" s="114">
        <v>24946</v>
      </c>
      <c r="X30" s="117">
        <f t="shared" ref="X30:X47" si="15">SUM(W30)</f>
        <v>24946</v>
      </c>
      <c r="Y30" s="114">
        <v>17047</v>
      </c>
      <c r="Z30" s="14">
        <v>0</v>
      </c>
      <c r="AA30" s="117">
        <f t="shared" ref="AA30:AA47" si="16">SUM(Y30:Z30)</f>
        <v>17047</v>
      </c>
      <c r="AB30" s="114">
        <v>27112</v>
      </c>
      <c r="AC30" s="14">
        <v>11817</v>
      </c>
      <c r="AD30" s="117">
        <f t="shared" ref="AD30:AD47" si="17">SUM(AB30:AC30)</f>
        <v>38929</v>
      </c>
    </row>
    <row r="31" spans="1:30" ht="23.25" x14ac:dyDescent="0.25">
      <c r="A31" s="124" t="s">
        <v>54</v>
      </c>
      <c r="B31" s="128" t="s">
        <v>153</v>
      </c>
      <c r="C31" s="113">
        <v>11486</v>
      </c>
      <c r="D31" s="14">
        <v>0</v>
      </c>
      <c r="E31" s="221">
        <v>2158</v>
      </c>
      <c r="F31" s="197">
        <f t="shared" si="10"/>
        <v>13644</v>
      </c>
      <c r="G31" s="114">
        <v>47036</v>
      </c>
      <c r="H31" s="117">
        <f t="shared" si="9"/>
        <v>47036</v>
      </c>
      <c r="I31" s="199">
        <v>7891</v>
      </c>
      <c r="J31" s="14">
        <v>0</v>
      </c>
      <c r="K31" s="117">
        <f t="shared" si="11"/>
        <v>7891</v>
      </c>
      <c r="L31" s="114">
        <v>13902</v>
      </c>
      <c r="M31" s="14">
        <v>0</v>
      </c>
      <c r="N31" s="117">
        <f t="shared" si="12"/>
        <v>13902</v>
      </c>
      <c r="O31" s="114">
        <v>32970</v>
      </c>
      <c r="P31" s="14">
        <v>0</v>
      </c>
      <c r="Q31" s="14">
        <v>0</v>
      </c>
      <c r="R31" s="117">
        <f t="shared" si="13"/>
        <v>32970</v>
      </c>
      <c r="S31" s="114">
        <v>21856</v>
      </c>
      <c r="T31" s="14">
        <v>0</v>
      </c>
      <c r="U31" s="14">
        <v>0</v>
      </c>
      <c r="V31" s="117">
        <f t="shared" si="14"/>
        <v>21856</v>
      </c>
      <c r="W31" s="114">
        <v>4568</v>
      </c>
      <c r="X31" s="117">
        <f t="shared" si="15"/>
        <v>4568</v>
      </c>
      <c r="Y31" s="114">
        <v>3088</v>
      </c>
      <c r="Z31" s="14">
        <v>0</v>
      </c>
      <c r="AA31" s="117">
        <f t="shared" si="16"/>
        <v>3088</v>
      </c>
      <c r="AB31" s="114">
        <v>4789</v>
      </c>
      <c r="AC31" s="14">
        <v>2088</v>
      </c>
      <c r="AD31" s="117">
        <f t="shared" si="17"/>
        <v>6877</v>
      </c>
    </row>
    <row r="32" spans="1:30" x14ac:dyDescent="0.25">
      <c r="A32" s="124" t="s">
        <v>55</v>
      </c>
      <c r="B32" s="128" t="s">
        <v>154</v>
      </c>
      <c r="C32" s="113">
        <v>328632</v>
      </c>
      <c r="D32" s="14">
        <v>115570</v>
      </c>
      <c r="E32" s="221">
        <v>0</v>
      </c>
      <c r="F32" s="197">
        <f t="shared" si="10"/>
        <v>444202</v>
      </c>
      <c r="G32" s="114">
        <v>76750</v>
      </c>
      <c r="H32" s="117">
        <f t="shared" si="9"/>
        <v>76750</v>
      </c>
      <c r="I32" s="199">
        <v>7067</v>
      </c>
      <c r="J32" s="14">
        <v>7214</v>
      </c>
      <c r="K32" s="117">
        <f t="shared" si="11"/>
        <v>14281</v>
      </c>
      <c r="L32" s="114">
        <v>10888</v>
      </c>
      <c r="M32" s="14">
        <v>10160</v>
      </c>
      <c r="N32" s="117">
        <f t="shared" si="12"/>
        <v>21048</v>
      </c>
      <c r="O32" s="114">
        <v>4100</v>
      </c>
      <c r="P32" s="14">
        <v>11161</v>
      </c>
      <c r="Q32" s="14">
        <v>48260</v>
      </c>
      <c r="R32" s="117">
        <f t="shared" si="13"/>
        <v>63521</v>
      </c>
      <c r="S32" s="114">
        <v>1505</v>
      </c>
      <c r="T32" s="14">
        <v>9626</v>
      </c>
      <c r="U32" s="14">
        <v>29210</v>
      </c>
      <c r="V32" s="117">
        <f t="shared" si="14"/>
        <v>40341</v>
      </c>
      <c r="W32" s="114">
        <v>19615</v>
      </c>
      <c r="X32" s="117">
        <f t="shared" si="15"/>
        <v>19615</v>
      </c>
      <c r="Y32" s="114">
        <v>3043</v>
      </c>
      <c r="Z32" s="14">
        <v>0</v>
      </c>
      <c r="AA32" s="117">
        <f t="shared" si="16"/>
        <v>3043</v>
      </c>
      <c r="AB32" s="114">
        <v>1839</v>
      </c>
      <c r="AC32" s="14">
        <v>14625</v>
      </c>
      <c r="AD32" s="117">
        <f t="shared" si="17"/>
        <v>16464</v>
      </c>
    </row>
    <row r="33" spans="1:30" x14ac:dyDescent="0.25">
      <c r="A33" s="124" t="s">
        <v>56</v>
      </c>
      <c r="B33" s="128" t="s">
        <v>160</v>
      </c>
      <c r="C33" s="113">
        <v>17000</v>
      </c>
      <c r="D33" s="14">
        <v>0</v>
      </c>
      <c r="E33" s="221">
        <v>0</v>
      </c>
      <c r="F33" s="197">
        <f t="shared" si="10"/>
        <v>17000</v>
      </c>
      <c r="G33" s="114">
        <v>0</v>
      </c>
      <c r="H33" s="117">
        <f t="shared" si="9"/>
        <v>0</v>
      </c>
      <c r="I33" s="199">
        <v>0</v>
      </c>
      <c r="J33" s="14">
        <v>0</v>
      </c>
      <c r="K33" s="117">
        <f t="shared" si="11"/>
        <v>0</v>
      </c>
      <c r="L33" s="114">
        <v>0</v>
      </c>
      <c r="M33" s="14">
        <v>0</v>
      </c>
      <c r="N33" s="117">
        <f t="shared" si="12"/>
        <v>0</v>
      </c>
      <c r="O33" s="114">
        <v>0</v>
      </c>
      <c r="P33" s="14">
        <v>0</v>
      </c>
      <c r="Q33" s="14">
        <v>0</v>
      </c>
      <c r="R33" s="117">
        <f t="shared" si="13"/>
        <v>0</v>
      </c>
      <c r="S33" s="114">
        <v>0</v>
      </c>
      <c r="T33" s="14">
        <v>0</v>
      </c>
      <c r="U33" s="14">
        <v>0</v>
      </c>
      <c r="V33" s="117">
        <f t="shared" si="14"/>
        <v>0</v>
      </c>
      <c r="W33" s="114">
        <v>0</v>
      </c>
      <c r="X33" s="117">
        <f t="shared" si="15"/>
        <v>0</v>
      </c>
      <c r="Y33" s="114">
        <v>0</v>
      </c>
      <c r="Z33" s="14">
        <v>0</v>
      </c>
      <c r="AA33" s="117">
        <f t="shared" si="16"/>
        <v>0</v>
      </c>
      <c r="AB33" s="114">
        <v>0</v>
      </c>
      <c r="AC33" s="14">
        <v>0</v>
      </c>
      <c r="AD33" s="117">
        <f t="shared" si="17"/>
        <v>0</v>
      </c>
    </row>
    <row r="34" spans="1:30" x14ac:dyDescent="0.25">
      <c r="A34" s="124" t="s">
        <v>57</v>
      </c>
      <c r="B34" s="128" t="s">
        <v>161</v>
      </c>
      <c r="C34" s="113">
        <f>682794-114000</f>
        <v>568794</v>
      </c>
      <c r="D34" s="14"/>
      <c r="E34" s="221"/>
      <c r="F34" s="197">
        <f t="shared" si="10"/>
        <v>568794</v>
      </c>
      <c r="G34" s="114">
        <v>0</v>
      </c>
      <c r="H34" s="117">
        <f t="shared" si="9"/>
        <v>0</v>
      </c>
      <c r="I34" s="199">
        <v>0</v>
      </c>
      <c r="J34" s="14">
        <v>0</v>
      </c>
      <c r="K34" s="117">
        <f t="shared" si="11"/>
        <v>0</v>
      </c>
      <c r="L34" s="114">
        <v>0</v>
      </c>
      <c r="M34" s="14">
        <v>0</v>
      </c>
      <c r="N34" s="117">
        <f t="shared" si="12"/>
        <v>0</v>
      </c>
      <c r="O34" s="114">
        <v>0</v>
      </c>
      <c r="P34" s="14">
        <v>0</v>
      </c>
      <c r="Q34" s="14">
        <v>0</v>
      </c>
      <c r="R34" s="117">
        <f t="shared" si="13"/>
        <v>0</v>
      </c>
      <c r="S34" s="114">
        <v>0</v>
      </c>
      <c r="T34" s="14">
        <v>0</v>
      </c>
      <c r="U34" s="14">
        <v>0</v>
      </c>
      <c r="V34" s="117">
        <f t="shared" si="14"/>
        <v>0</v>
      </c>
      <c r="W34" s="114">
        <v>0</v>
      </c>
      <c r="X34" s="117">
        <f t="shared" si="15"/>
        <v>0</v>
      </c>
      <c r="Y34" s="114">
        <v>0</v>
      </c>
      <c r="Z34" s="14">
        <v>0</v>
      </c>
      <c r="AA34" s="117">
        <f t="shared" si="16"/>
        <v>0</v>
      </c>
      <c r="AB34" s="114">
        <v>0</v>
      </c>
      <c r="AC34" s="14">
        <v>0</v>
      </c>
      <c r="AD34" s="117">
        <f t="shared" si="17"/>
        <v>0</v>
      </c>
    </row>
    <row r="35" spans="1:30" x14ac:dyDescent="0.25">
      <c r="A35" s="129" t="s">
        <v>93</v>
      </c>
      <c r="B35" s="128" t="s">
        <v>164</v>
      </c>
      <c r="C35" s="113">
        <v>114000</v>
      </c>
      <c r="D35" s="14"/>
      <c r="E35" s="221"/>
      <c r="F35" s="197">
        <f t="shared" si="10"/>
        <v>114000</v>
      </c>
      <c r="G35" s="114">
        <v>0</v>
      </c>
      <c r="H35" s="117">
        <f t="shared" si="9"/>
        <v>0</v>
      </c>
      <c r="I35" s="199">
        <v>0</v>
      </c>
      <c r="J35" s="14">
        <v>0</v>
      </c>
      <c r="K35" s="117">
        <f t="shared" si="11"/>
        <v>0</v>
      </c>
      <c r="L35" s="114">
        <v>0</v>
      </c>
      <c r="M35" s="14">
        <v>0</v>
      </c>
      <c r="N35" s="117">
        <f t="shared" si="12"/>
        <v>0</v>
      </c>
      <c r="O35" s="114">
        <v>0</v>
      </c>
      <c r="P35" s="14">
        <v>0</v>
      </c>
      <c r="Q35" s="14">
        <v>0</v>
      </c>
      <c r="R35" s="117">
        <f t="shared" si="13"/>
        <v>0</v>
      </c>
      <c r="S35" s="114">
        <v>0</v>
      </c>
      <c r="T35" s="14">
        <v>0</v>
      </c>
      <c r="U35" s="14">
        <v>0</v>
      </c>
      <c r="V35" s="117">
        <f t="shared" si="14"/>
        <v>0</v>
      </c>
      <c r="W35" s="114">
        <v>0</v>
      </c>
      <c r="X35" s="117">
        <f t="shared" si="15"/>
        <v>0</v>
      </c>
      <c r="Y35" s="114">
        <v>0</v>
      </c>
      <c r="Z35" s="14">
        <v>0</v>
      </c>
      <c r="AA35" s="117">
        <f t="shared" si="16"/>
        <v>0</v>
      </c>
      <c r="AB35" s="114">
        <v>0</v>
      </c>
      <c r="AC35" s="14">
        <v>0</v>
      </c>
      <c r="AD35" s="117">
        <f t="shared" si="17"/>
        <v>0</v>
      </c>
    </row>
    <row r="36" spans="1:30" x14ac:dyDescent="0.25">
      <c r="A36" s="129" t="s">
        <v>12</v>
      </c>
      <c r="B36" s="128" t="s">
        <v>100</v>
      </c>
      <c r="C36" s="113">
        <f>+C37+C39+C38</f>
        <v>1578828</v>
      </c>
      <c r="D36" s="14"/>
      <c r="E36" s="221"/>
      <c r="F36" s="197">
        <f t="shared" si="10"/>
        <v>1578828</v>
      </c>
      <c r="G36" s="114">
        <v>6350</v>
      </c>
      <c r="H36" s="117">
        <f t="shared" si="9"/>
        <v>6350</v>
      </c>
      <c r="I36" s="199">
        <v>0</v>
      </c>
      <c r="J36" s="14">
        <f>J37+J38+J39</f>
        <v>0</v>
      </c>
      <c r="K36" s="117">
        <f t="shared" si="11"/>
        <v>0</v>
      </c>
      <c r="L36" s="114">
        <v>0</v>
      </c>
      <c r="M36" s="14">
        <f>M37+M38+M39</f>
        <v>0</v>
      </c>
      <c r="N36" s="117">
        <f t="shared" si="12"/>
        <v>0</v>
      </c>
      <c r="O36" s="114">
        <f>O37+O38+O39</f>
        <v>0</v>
      </c>
      <c r="P36" s="14">
        <f>P37+P38+P39</f>
        <v>0</v>
      </c>
      <c r="Q36" s="14">
        <f>Q37+Q38+Q39</f>
        <v>0</v>
      </c>
      <c r="R36" s="117">
        <f t="shared" si="13"/>
        <v>0</v>
      </c>
      <c r="S36" s="114">
        <f>S37+S38+S39</f>
        <v>0</v>
      </c>
      <c r="T36" s="14">
        <f>T37+T38+T39</f>
        <v>0</v>
      </c>
      <c r="U36" s="14">
        <v>0</v>
      </c>
      <c r="V36" s="117">
        <f t="shared" si="14"/>
        <v>0</v>
      </c>
      <c r="W36" s="114">
        <v>0</v>
      </c>
      <c r="X36" s="117">
        <f t="shared" si="15"/>
        <v>0</v>
      </c>
      <c r="Y36" s="114">
        <f>Y37+Y38+Y39</f>
        <v>0</v>
      </c>
      <c r="Z36" s="14">
        <f>Z37+Z38+Z39</f>
        <v>1575</v>
      </c>
      <c r="AA36" s="117">
        <f t="shared" si="16"/>
        <v>1575</v>
      </c>
      <c r="AB36" s="114">
        <f>AB37+AB38+AB39</f>
        <v>0</v>
      </c>
      <c r="AC36" s="14">
        <f>AC37+AC38+AC39</f>
        <v>0</v>
      </c>
      <c r="AD36" s="117">
        <f t="shared" si="17"/>
        <v>0</v>
      </c>
    </row>
    <row r="37" spans="1:30" x14ac:dyDescent="0.25">
      <c r="A37" s="129" t="s">
        <v>49</v>
      </c>
      <c r="B37" s="128" t="s">
        <v>162</v>
      </c>
      <c r="C37" s="113">
        <v>1453828</v>
      </c>
      <c r="D37" s="14"/>
      <c r="E37" s="221"/>
      <c r="F37" s="197">
        <f t="shared" si="10"/>
        <v>1453828</v>
      </c>
      <c r="G37" s="114">
        <v>6350</v>
      </c>
      <c r="H37" s="117">
        <f t="shared" si="9"/>
        <v>6350</v>
      </c>
      <c r="I37" s="199">
        <v>0</v>
      </c>
      <c r="J37" s="14">
        <v>0</v>
      </c>
      <c r="K37" s="117">
        <f t="shared" si="11"/>
        <v>0</v>
      </c>
      <c r="L37" s="114">
        <v>0</v>
      </c>
      <c r="M37" s="14">
        <v>0</v>
      </c>
      <c r="N37" s="117">
        <f t="shared" si="12"/>
        <v>0</v>
      </c>
      <c r="O37" s="114">
        <v>0</v>
      </c>
      <c r="P37" s="14">
        <v>0</v>
      </c>
      <c r="Q37" s="14">
        <v>0</v>
      </c>
      <c r="R37" s="117">
        <f t="shared" si="13"/>
        <v>0</v>
      </c>
      <c r="S37" s="114">
        <v>0</v>
      </c>
      <c r="T37" s="14">
        <v>0</v>
      </c>
      <c r="U37" s="14">
        <v>0</v>
      </c>
      <c r="V37" s="117">
        <f t="shared" si="14"/>
        <v>0</v>
      </c>
      <c r="W37" s="114">
        <v>0</v>
      </c>
      <c r="X37" s="117">
        <f t="shared" si="15"/>
        <v>0</v>
      </c>
      <c r="Y37" s="114">
        <v>0</v>
      </c>
      <c r="Z37" s="14">
        <v>1575</v>
      </c>
      <c r="AA37" s="117">
        <f t="shared" si="16"/>
        <v>1575</v>
      </c>
      <c r="AB37" s="114">
        <v>0</v>
      </c>
      <c r="AC37" s="14">
        <v>0</v>
      </c>
      <c r="AD37" s="117">
        <f t="shared" si="17"/>
        <v>0</v>
      </c>
    </row>
    <row r="38" spans="1:30" x14ac:dyDescent="0.25">
      <c r="A38" s="129" t="s">
        <v>50</v>
      </c>
      <c r="B38" s="128" t="s">
        <v>10</v>
      </c>
      <c r="C38" s="113">
        <v>125000</v>
      </c>
      <c r="D38" s="87"/>
      <c r="E38" s="220"/>
      <c r="F38" s="197">
        <f t="shared" si="10"/>
        <v>125000</v>
      </c>
      <c r="G38" s="118">
        <v>0</v>
      </c>
      <c r="H38" s="117">
        <f t="shared" si="9"/>
        <v>0</v>
      </c>
      <c r="I38" s="200">
        <v>0</v>
      </c>
      <c r="J38" s="14">
        <v>0</v>
      </c>
      <c r="K38" s="117">
        <f t="shared" si="11"/>
        <v>0</v>
      </c>
      <c r="L38" s="120">
        <v>0</v>
      </c>
      <c r="M38" s="14">
        <v>0</v>
      </c>
      <c r="N38" s="117">
        <f t="shared" si="12"/>
        <v>0</v>
      </c>
      <c r="O38" s="118">
        <v>0</v>
      </c>
      <c r="P38" s="14">
        <v>0</v>
      </c>
      <c r="Q38" s="14">
        <v>0</v>
      </c>
      <c r="R38" s="117">
        <f t="shared" si="13"/>
        <v>0</v>
      </c>
      <c r="S38" s="118">
        <v>0</v>
      </c>
      <c r="T38" s="14">
        <v>0</v>
      </c>
      <c r="U38" s="14">
        <v>0</v>
      </c>
      <c r="V38" s="117">
        <f t="shared" si="14"/>
        <v>0</v>
      </c>
      <c r="W38" s="118">
        <v>0</v>
      </c>
      <c r="X38" s="117">
        <f t="shared" si="15"/>
        <v>0</v>
      </c>
      <c r="Y38" s="118">
        <v>0</v>
      </c>
      <c r="Z38" s="14">
        <v>0</v>
      </c>
      <c r="AA38" s="117">
        <f t="shared" si="16"/>
        <v>0</v>
      </c>
      <c r="AB38" s="118">
        <v>0</v>
      </c>
      <c r="AC38" s="14">
        <v>0</v>
      </c>
      <c r="AD38" s="117">
        <f t="shared" si="17"/>
        <v>0</v>
      </c>
    </row>
    <row r="39" spans="1:30" x14ac:dyDescent="0.25">
      <c r="A39" s="129" t="s">
        <v>58</v>
      </c>
      <c r="B39" s="128" t="s">
        <v>101</v>
      </c>
      <c r="C39" s="113">
        <v>0</v>
      </c>
      <c r="D39" s="14"/>
      <c r="E39" s="221"/>
      <c r="F39" s="197">
        <f t="shared" si="10"/>
        <v>0</v>
      </c>
      <c r="G39" s="114">
        <v>0</v>
      </c>
      <c r="H39" s="117">
        <f t="shared" si="9"/>
        <v>0</v>
      </c>
      <c r="I39" s="199">
        <v>0</v>
      </c>
      <c r="J39" s="14">
        <v>0</v>
      </c>
      <c r="K39" s="117">
        <f t="shared" si="11"/>
        <v>0</v>
      </c>
      <c r="L39" s="114">
        <v>0</v>
      </c>
      <c r="M39" s="14">
        <v>0</v>
      </c>
      <c r="N39" s="117">
        <f t="shared" si="12"/>
        <v>0</v>
      </c>
      <c r="O39" s="114">
        <v>0</v>
      </c>
      <c r="P39" s="14">
        <v>0</v>
      </c>
      <c r="Q39" s="14">
        <v>0</v>
      </c>
      <c r="R39" s="117">
        <f t="shared" si="13"/>
        <v>0</v>
      </c>
      <c r="S39" s="114">
        <v>0</v>
      </c>
      <c r="T39" s="14">
        <v>0</v>
      </c>
      <c r="U39" s="14">
        <v>0</v>
      </c>
      <c r="V39" s="117">
        <f t="shared" si="14"/>
        <v>0</v>
      </c>
      <c r="W39" s="114">
        <v>0</v>
      </c>
      <c r="X39" s="117">
        <f t="shared" si="15"/>
        <v>0</v>
      </c>
      <c r="Y39" s="114">
        <v>0</v>
      </c>
      <c r="Z39" s="14">
        <v>0</v>
      </c>
      <c r="AA39" s="117">
        <f t="shared" si="16"/>
        <v>0</v>
      </c>
      <c r="AB39" s="114">
        <v>0</v>
      </c>
      <c r="AC39" s="14">
        <v>0</v>
      </c>
      <c r="AD39" s="117">
        <f t="shared" si="17"/>
        <v>0</v>
      </c>
    </row>
    <row r="40" spans="1:30" x14ac:dyDescent="0.25">
      <c r="A40" s="129" t="s">
        <v>13</v>
      </c>
      <c r="B40" s="130" t="s">
        <v>102</v>
      </c>
      <c r="C40" s="114">
        <f>C29+C36</f>
        <v>2683188</v>
      </c>
      <c r="D40" s="14">
        <f>D29+D36</f>
        <v>115570</v>
      </c>
      <c r="E40" s="14">
        <f>E29+E36</f>
        <v>14144</v>
      </c>
      <c r="F40" s="197">
        <f t="shared" si="10"/>
        <v>2812902</v>
      </c>
      <c r="G40" s="114">
        <f>G29+G36</f>
        <v>392970</v>
      </c>
      <c r="H40" s="117">
        <f t="shared" si="9"/>
        <v>392970</v>
      </c>
      <c r="I40" s="199">
        <f>I29+I36</f>
        <v>57823</v>
      </c>
      <c r="J40" s="14">
        <f>J29+J36</f>
        <v>7214</v>
      </c>
      <c r="K40" s="117">
        <f t="shared" si="11"/>
        <v>65037</v>
      </c>
      <c r="L40" s="114">
        <f>L29+L36</f>
        <v>98351</v>
      </c>
      <c r="M40" s="14">
        <f>M29+M36</f>
        <v>10160</v>
      </c>
      <c r="N40" s="117">
        <f t="shared" si="12"/>
        <v>108511</v>
      </c>
      <c r="O40" s="114">
        <f>O29+O36</f>
        <v>197326</v>
      </c>
      <c r="P40" s="14">
        <f>P29+P36</f>
        <v>11161</v>
      </c>
      <c r="Q40" s="14">
        <f>Q29+Q36</f>
        <v>48260</v>
      </c>
      <c r="R40" s="117">
        <f t="shared" si="13"/>
        <v>256747</v>
      </c>
      <c r="S40" s="114">
        <f>S29+S36</f>
        <v>141197</v>
      </c>
      <c r="T40" s="14">
        <f>T29+T36</f>
        <v>9626</v>
      </c>
      <c r="U40" s="14">
        <f>U29+U36</f>
        <v>29210</v>
      </c>
      <c r="V40" s="117">
        <f t="shared" si="14"/>
        <v>180033</v>
      </c>
      <c r="W40" s="114">
        <f>W29+W36</f>
        <v>49129</v>
      </c>
      <c r="X40" s="117">
        <f t="shared" si="15"/>
        <v>49129</v>
      </c>
      <c r="Y40" s="114">
        <f>Y29+Y36</f>
        <v>23178</v>
      </c>
      <c r="Z40" s="14">
        <f>Z29+Z36</f>
        <v>1575</v>
      </c>
      <c r="AA40" s="117">
        <f t="shared" si="16"/>
        <v>24753</v>
      </c>
      <c r="AB40" s="114">
        <f>AB29+AB36</f>
        <v>33740</v>
      </c>
      <c r="AC40" s="14">
        <f>AC29+AC36</f>
        <v>28530</v>
      </c>
      <c r="AD40" s="117">
        <f t="shared" si="17"/>
        <v>62270</v>
      </c>
    </row>
    <row r="41" spans="1:30" ht="23.25" x14ac:dyDescent="0.25">
      <c r="A41" s="124" t="s">
        <v>14</v>
      </c>
      <c r="B41" s="128" t="s">
        <v>103</v>
      </c>
      <c r="C41" s="113">
        <v>61368</v>
      </c>
      <c r="D41" s="14"/>
      <c r="E41" s="221"/>
      <c r="F41" s="197">
        <f t="shared" si="10"/>
        <v>61368</v>
      </c>
      <c r="G41" s="114">
        <v>0</v>
      </c>
      <c r="H41" s="117">
        <f t="shared" si="9"/>
        <v>0</v>
      </c>
      <c r="I41" s="199">
        <v>0</v>
      </c>
      <c r="J41" s="14">
        <v>0</v>
      </c>
      <c r="K41" s="117">
        <f t="shared" si="11"/>
        <v>0</v>
      </c>
      <c r="L41" s="114">
        <v>0</v>
      </c>
      <c r="M41" s="14">
        <v>0</v>
      </c>
      <c r="N41" s="117">
        <f t="shared" si="12"/>
        <v>0</v>
      </c>
      <c r="O41" s="114">
        <v>0</v>
      </c>
      <c r="P41" s="14">
        <v>0</v>
      </c>
      <c r="Q41" s="14">
        <v>0</v>
      </c>
      <c r="R41" s="117">
        <f t="shared" si="13"/>
        <v>0</v>
      </c>
      <c r="S41" s="114">
        <v>0</v>
      </c>
      <c r="T41" s="14">
        <v>0</v>
      </c>
      <c r="U41" s="14">
        <v>0</v>
      </c>
      <c r="V41" s="117">
        <f t="shared" si="14"/>
        <v>0</v>
      </c>
      <c r="W41" s="114">
        <v>0</v>
      </c>
      <c r="X41" s="117">
        <f t="shared" si="15"/>
        <v>0</v>
      </c>
      <c r="Y41" s="114">
        <v>0</v>
      </c>
      <c r="Z41" s="14">
        <v>0</v>
      </c>
      <c r="AA41" s="117">
        <f t="shared" si="16"/>
        <v>0</v>
      </c>
      <c r="AB41" s="114">
        <v>0</v>
      </c>
      <c r="AC41" s="14">
        <v>0</v>
      </c>
      <c r="AD41" s="117">
        <f t="shared" si="17"/>
        <v>0</v>
      </c>
    </row>
    <row r="42" spans="1:30" x14ac:dyDescent="0.25">
      <c r="A42" s="124" t="s">
        <v>15</v>
      </c>
      <c r="B42" s="128" t="s">
        <v>335</v>
      </c>
      <c r="C42" s="113">
        <v>32301</v>
      </c>
      <c r="D42" s="14"/>
      <c r="E42" s="221"/>
      <c r="F42" s="197">
        <f t="shared" si="10"/>
        <v>32301</v>
      </c>
      <c r="G42" s="114">
        <v>0</v>
      </c>
      <c r="H42" s="117">
        <f t="shared" si="9"/>
        <v>0</v>
      </c>
      <c r="I42" s="199">
        <v>0</v>
      </c>
      <c r="J42" s="14">
        <v>0</v>
      </c>
      <c r="K42" s="117">
        <f t="shared" si="11"/>
        <v>0</v>
      </c>
      <c r="L42" s="114">
        <v>0</v>
      </c>
      <c r="M42" s="14">
        <v>0</v>
      </c>
      <c r="N42" s="117">
        <f t="shared" si="12"/>
        <v>0</v>
      </c>
      <c r="O42" s="114">
        <v>0</v>
      </c>
      <c r="P42" s="14">
        <v>0</v>
      </c>
      <c r="Q42" s="14">
        <v>0</v>
      </c>
      <c r="R42" s="117">
        <f t="shared" si="13"/>
        <v>0</v>
      </c>
      <c r="S42" s="114">
        <v>0</v>
      </c>
      <c r="T42" s="14">
        <v>0</v>
      </c>
      <c r="U42" s="14">
        <v>0</v>
      </c>
      <c r="V42" s="117">
        <f t="shared" si="14"/>
        <v>0</v>
      </c>
      <c r="W42" s="114">
        <v>0</v>
      </c>
      <c r="X42" s="117">
        <f t="shared" si="15"/>
        <v>0</v>
      </c>
      <c r="Y42" s="114">
        <v>0</v>
      </c>
      <c r="Z42" s="14">
        <v>0</v>
      </c>
      <c r="AA42" s="117">
        <f t="shared" si="16"/>
        <v>0</v>
      </c>
      <c r="AB42" s="114">
        <v>0</v>
      </c>
      <c r="AC42" s="14">
        <v>0</v>
      </c>
      <c r="AD42" s="117">
        <f t="shared" si="17"/>
        <v>0</v>
      </c>
    </row>
    <row r="43" spans="1:30" x14ac:dyDescent="0.25">
      <c r="A43" s="124" t="s">
        <v>16</v>
      </c>
      <c r="B43" s="128" t="s">
        <v>163</v>
      </c>
      <c r="C43" s="113">
        <v>1080936</v>
      </c>
      <c r="D43" s="14"/>
      <c r="E43" s="221"/>
      <c r="F43" s="197">
        <f t="shared" si="10"/>
        <v>1080936</v>
      </c>
      <c r="G43" s="114">
        <v>0</v>
      </c>
      <c r="H43" s="117">
        <f t="shared" si="9"/>
        <v>0</v>
      </c>
      <c r="I43" s="199">
        <v>0</v>
      </c>
      <c r="J43" s="14">
        <v>0</v>
      </c>
      <c r="K43" s="117">
        <f t="shared" si="11"/>
        <v>0</v>
      </c>
      <c r="L43" s="114">
        <v>0</v>
      </c>
      <c r="M43" s="14">
        <v>0</v>
      </c>
      <c r="N43" s="117">
        <f t="shared" si="12"/>
        <v>0</v>
      </c>
      <c r="O43" s="114">
        <v>0</v>
      </c>
      <c r="P43" s="14">
        <v>0</v>
      </c>
      <c r="Q43" s="14">
        <v>0</v>
      </c>
      <c r="R43" s="117">
        <f t="shared" si="13"/>
        <v>0</v>
      </c>
      <c r="S43" s="114">
        <v>0</v>
      </c>
      <c r="T43" s="14">
        <v>0</v>
      </c>
      <c r="U43" s="14">
        <v>0</v>
      </c>
      <c r="V43" s="117">
        <f t="shared" si="14"/>
        <v>0</v>
      </c>
      <c r="W43" s="114">
        <v>0</v>
      </c>
      <c r="X43" s="117">
        <f t="shared" si="15"/>
        <v>0</v>
      </c>
      <c r="Y43" s="114">
        <v>0</v>
      </c>
      <c r="Z43" s="14">
        <v>0</v>
      </c>
      <c r="AA43" s="117">
        <f t="shared" si="16"/>
        <v>0</v>
      </c>
      <c r="AB43" s="114">
        <v>0</v>
      </c>
      <c r="AC43" s="14">
        <v>0</v>
      </c>
      <c r="AD43" s="117">
        <f t="shared" si="17"/>
        <v>0</v>
      </c>
    </row>
    <row r="44" spans="1:30" x14ac:dyDescent="0.25">
      <c r="A44" s="124"/>
      <c r="B44" s="128" t="s">
        <v>212</v>
      </c>
      <c r="C44" s="113">
        <v>1080936</v>
      </c>
      <c r="D44" s="14"/>
      <c r="E44" s="221"/>
      <c r="F44" s="197">
        <f t="shared" si="10"/>
        <v>1080936</v>
      </c>
      <c r="G44" s="114">
        <v>0</v>
      </c>
      <c r="H44" s="117">
        <f t="shared" si="9"/>
        <v>0</v>
      </c>
      <c r="I44" s="199">
        <v>0</v>
      </c>
      <c r="J44" s="14">
        <v>0</v>
      </c>
      <c r="K44" s="117">
        <f t="shared" si="11"/>
        <v>0</v>
      </c>
      <c r="L44" s="114">
        <v>0</v>
      </c>
      <c r="M44" s="14">
        <v>0</v>
      </c>
      <c r="N44" s="117">
        <f t="shared" si="12"/>
        <v>0</v>
      </c>
      <c r="O44" s="114">
        <v>0</v>
      </c>
      <c r="P44" s="14">
        <v>0</v>
      </c>
      <c r="Q44" s="14">
        <v>0</v>
      </c>
      <c r="R44" s="117">
        <f t="shared" si="13"/>
        <v>0</v>
      </c>
      <c r="S44" s="114">
        <v>0</v>
      </c>
      <c r="T44" s="14">
        <v>0</v>
      </c>
      <c r="U44" s="14">
        <v>0</v>
      </c>
      <c r="V44" s="117">
        <f t="shared" si="14"/>
        <v>0</v>
      </c>
      <c r="W44" s="114">
        <v>0</v>
      </c>
      <c r="X44" s="117">
        <f t="shared" si="15"/>
        <v>0</v>
      </c>
      <c r="Y44" s="114">
        <v>0</v>
      </c>
      <c r="Z44" s="14">
        <v>0</v>
      </c>
      <c r="AA44" s="117">
        <f t="shared" si="16"/>
        <v>0</v>
      </c>
      <c r="AB44" s="114">
        <v>0</v>
      </c>
      <c r="AC44" s="14">
        <v>0</v>
      </c>
      <c r="AD44" s="117">
        <f t="shared" si="17"/>
        <v>0</v>
      </c>
    </row>
    <row r="45" spans="1:30" x14ac:dyDescent="0.25">
      <c r="A45" s="131"/>
      <c r="B45" s="128" t="s">
        <v>105</v>
      </c>
      <c r="C45" s="113">
        <v>0</v>
      </c>
      <c r="D45" s="14"/>
      <c r="E45" s="221"/>
      <c r="F45" s="197">
        <f t="shared" si="10"/>
        <v>0</v>
      </c>
      <c r="G45" s="114">
        <v>0</v>
      </c>
      <c r="H45" s="117">
        <f t="shared" si="9"/>
        <v>0</v>
      </c>
      <c r="I45" s="199">
        <v>0</v>
      </c>
      <c r="J45" s="14">
        <v>0</v>
      </c>
      <c r="K45" s="117">
        <f t="shared" si="11"/>
        <v>0</v>
      </c>
      <c r="L45" s="114">
        <v>0</v>
      </c>
      <c r="M45" s="14">
        <v>0</v>
      </c>
      <c r="N45" s="117">
        <f t="shared" si="12"/>
        <v>0</v>
      </c>
      <c r="O45" s="114">
        <v>0</v>
      </c>
      <c r="P45" s="14">
        <v>0</v>
      </c>
      <c r="Q45" s="14">
        <v>0</v>
      </c>
      <c r="R45" s="117">
        <f t="shared" si="13"/>
        <v>0</v>
      </c>
      <c r="S45" s="114">
        <v>0</v>
      </c>
      <c r="T45" s="14">
        <v>0</v>
      </c>
      <c r="U45" s="14">
        <v>0</v>
      </c>
      <c r="V45" s="117">
        <f t="shared" si="14"/>
        <v>0</v>
      </c>
      <c r="W45" s="114">
        <v>0</v>
      </c>
      <c r="X45" s="117">
        <f t="shared" si="15"/>
        <v>0</v>
      </c>
      <c r="Y45" s="114">
        <v>0</v>
      </c>
      <c r="Z45" s="14">
        <v>0</v>
      </c>
      <c r="AA45" s="117">
        <f t="shared" si="16"/>
        <v>0</v>
      </c>
      <c r="AB45" s="114">
        <v>0</v>
      </c>
      <c r="AC45" s="14">
        <v>0</v>
      </c>
      <c r="AD45" s="117">
        <f t="shared" si="17"/>
        <v>0</v>
      </c>
    </row>
    <row r="46" spans="1:30" x14ac:dyDescent="0.25">
      <c r="A46" s="124" t="s">
        <v>17</v>
      </c>
      <c r="B46" s="130" t="s">
        <v>106</v>
      </c>
      <c r="C46" s="114">
        <f>C41+C42+C43+C45</f>
        <v>1174605</v>
      </c>
      <c r="D46" s="14"/>
      <c r="E46" s="221"/>
      <c r="F46" s="197">
        <f t="shared" si="10"/>
        <v>1174605</v>
      </c>
      <c r="G46" s="114">
        <f>G41+G42+G43+G45</f>
        <v>0</v>
      </c>
      <c r="H46" s="117">
        <f t="shared" si="9"/>
        <v>0</v>
      </c>
      <c r="I46" s="199">
        <f>I41+I42+I43+I45</f>
        <v>0</v>
      </c>
      <c r="J46" s="14">
        <f>J41+J42+J43+J45</f>
        <v>0</v>
      </c>
      <c r="K46" s="117">
        <f t="shared" si="11"/>
        <v>0</v>
      </c>
      <c r="L46" s="114">
        <f>L41+L42+L43+L45</f>
        <v>0</v>
      </c>
      <c r="M46" s="14">
        <f>M41+M42+M43+M45</f>
        <v>0</v>
      </c>
      <c r="N46" s="117">
        <f t="shared" si="12"/>
        <v>0</v>
      </c>
      <c r="O46" s="114">
        <f>O41+O42+O43+O45</f>
        <v>0</v>
      </c>
      <c r="P46" s="14">
        <f>P41+P42+P43+P45</f>
        <v>0</v>
      </c>
      <c r="Q46" s="14">
        <f>Q41+Q42+Q43+Q45</f>
        <v>0</v>
      </c>
      <c r="R46" s="117">
        <f t="shared" si="13"/>
        <v>0</v>
      </c>
      <c r="S46" s="114">
        <f>S41+S42+S43+S45</f>
        <v>0</v>
      </c>
      <c r="T46" s="14">
        <f>T41+T42+T43+T45</f>
        <v>0</v>
      </c>
      <c r="U46" s="14">
        <f>U41+U42+U43+U45</f>
        <v>0</v>
      </c>
      <c r="V46" s="117">
        <f t="shared" si="14"/>
        <v>0</v>
      </c>
      <c r="W46" s="114">
        <f>W41+W42+W43+W45</f>
        <v>0</v>
      </c>
      <c r="X46" s="117">
        <f t="shared" si="15"/>
        <v>0</v>
      </c>
      <c r="Y46" s="114">
        <f>Y41+Y42+Y43+Y45</f>
        <v>0</v>
      </c>
      <c r="Z46" s="14">
        <f>Z41+Z42+Z43+Z45</f>
        <v>0</v>
      </c>
      <c r="AA46" s="117">
        <f t="shared" si="16"/>
        <v>0</v>
      </c>
      <c r="AB46" s="114">
        <f>AB41+AB42+AB43+AB45</f>
        <v>0</v>
      </c>
      <c r="AC46" s="14">
        <f>AC41+AC42+AC43+AC45</f>
        <v>0</v>
      </c>
      <c r="AD46" s="117">
        <f t="shared" si="17"/>
        <v>0</v>
      </c>
    </row>
    <row r="47" spans="1:30" ht="24" thickBot="1" x14ac:dyDescent="0.3">
      <c r="A47" s="126" t="s">
        <v>18</v>
      </c>
      <c r="B47" s="132" t="s">
        <v>107</v>
      </c>
      <c r="C47" s="115">
        <f>C40+C46</f>
        <v>3857793</v>
      </c>
      <c r="D47" s="116">
        <f>D40+D46</f>
        <v>115570</v>
      </c>
      <c r="E47" s="116">
        <f>E40+E46</f>
        <v>14144</v>
      </c>
      <c r="F47" s="197">
        <f t="shared" si="10"/>
        <v>3987507</v>
      </c>
      <c r="G47" s="115">
        <f>G40+G46</f>
        <v>392970</v>
      </c>
      <c r="H47" s="119">
        <f t="shared" si="9"/>
        <v>392970</v>
      </c>
      <c r="I47" s="201">
        <f>I40+I46</f>
        <v>57823</v>
      </c>
      <c r="J47" s="116">
        <f>J40+J46</f>
        <v>7214</v>
      </c>
      <c r="K47" s="119">
        <f t="shared" si="11"/>
        <v>65037</v>
      </c>
      <c r="L47" s="115">
        <f>L40+L46</f>
        <v>98351</v>
      </c>
      <c r="M47" s="116">
        <f>M40+M46</f>
        <v>10160</v>
      </c>
      <c r="N47" s="119">
        <f t="shared" si="12"/>
        <v>108511</v>
      </c>
      <c r="O47" s="115">
        <f>O40+O46</f>
        <v>197326</v>
      </c>
      <c r="P47" s="116">
        <f>P40+P46</f>
        <v>11161</v>
      </c>
      <c r="Q47" s="116">
        <f>Q40+Q46</f>
        <v>48260</v>
      </c>
      <c r="R47" s="119">
        <f t="shared" si="13"/>
        <v>256747</v>
      </c>
      <c r="S47" s="115">
        <f>S40+S46</f>
        <v>141197</v>
      </c>
      <c r="T47" s="116">
        <f>T40+T46</f>
        <v>9626</v>
      </c>
      <c r="U47" s="116">
        <f>U40+U46</f>
        <v>29210</v>
      </c>
      <c r="V47" s="119">
        <f t="shared" si="14"/>
        <v>180033</v>
      </c>
      <c r="W47" s="115">
        <f>W40+W46</f>
        <v>49129</v>
      </c>
      <c r="X47" s="119">
        <f t="shared" si="15"/>
        <v>49129</v>
      </c>
      <c r="Y47" s="115">
        <f>Y40+Y46</f>
        <v>23178</v>
      </c>
      <c r="Z47" s="116">
        <f>Z40+Z46</f>
        <v>1575</v>
      </c>
      <c r="AA47" s="119">
        <f t="shared" si="16"/>
        <v>24753</v>
      </c>
      <c r="AB47" s="115">
        <f>AB40+AB46</f>
        <v>33740</v>
      </c>
      <c r="AC47" s="116">
        <f>AC40+AC46</f>
        <v>28530</v>
      </c>
      <c r="AD47" s="119">
        <f t="shared" si="17"/>
        <v>62270</v>
      </c>
    </row>
    <row r="48" spans="1:30" x14ac:dyDescent="0.25">
      <c r="F48" s="6">
        <f>+F24-F47</f>
        <v>0</v>
      </c>
      <c r="H48" s="6">
        <f t="shared" ref="H48:N48" si="18">+H24-H47</f>
        <v>0</v>
      </c>
      <c r="I48" s="6">
        <f t="shared" si="18"/>
        <v>0</v>
      </c>
      <c r="J48" s="6">
        <f t="shared" si="18"/>
        <v>0</v>
      </c>
      <c r="K48" s="6">
        <f t="shared" si="18"/>
        <v>0</v>
      </c>
      <c r="L48" s="6">
        <f t="shared" si="18"/>
        <v>0</v>
      </c>
      <c r="M48" s="6">
        <f t="shared" si="18"/>
        <v>0</v>
      </c>
      <c r="N48" s="6">
        <f t="shared" si="18"/>
        <v>0</v>
      </c>
      <c r="O48" s="6">
        <f>+O47-O24</f>
        <v>0</v>
      </c>
      <c r="P48" s="6">
        <f>+P47-P24</f>
        <v>0</v>
      </c>
      <c r="Q48" s="6">
        <f>+Q47-Q24</f>
        <v>0</v>
      </c>
      <c r="R48" s="6">
        <f>+R24-R47</f>
        <v>0</v>
      </c>
      <c r="S48" s="6">
        <f>+S47-S24</f>
        <v>0</v>
      </c>
      <c r="T48" s="6">
        <f>+T47-T24</f>
        <v>0</v>
      </c>
      <c r="U48" s="6">
        <f>+U47-U24</f>
        <v>0</v>
      </c>
      <c r="V48" s="6">
        <f>+V24-V47</f>
        <v>0</v>
      </c>
      <c r="X48" s="6">
        <f t="shared" ref="X48:AD48" si="19">+X24-X47</f>
        <v>0</v>
      </c>
      <c r="Y48" s="6">
        <f t="shared" si="19"/>
        <v>0</v>
      </c>
      <c r="Z48" s="6">
        <f t="shared" si="19"/>
        <v>0</v>
      </c>
      <c r="AA48" s="6">
        <f t="shared" si="19"/>
        <v>0</v>
      </c>
      <c r="AB48" s="6">
        <f t="shared" si="19"/>
        <v>0</v>
      </c>
      <c r="AC48" s="6">
        <f t="shared" si="19"/>
        <v>0</v>
      </c>
      <c r="AD48" s="6">
        <f t="shared" si="19"/>
        <v>0</v>
      </c>
    </row>
    <row r="49" spans="7:8" x14ac:dyDescent="0.25">
      <c r="G49" s="30"/>
    </row>
    <row r="50" spans="7:8" x14ac:dyDescent="0.25">
      <c r="G50" s="9"/>
    </row>
    <row r="51" spans="7:8" x14ac:dyDescent="0.25">
      <c r="G51" s="24"/>
      <c r="H51" s="24"/>
    </row>
    <row r="52" spans="7:8" x14ac:dyDescent="0.25">
      <c r="G52" s="24"/>
      <c r="H52" s="24"/>
    </row>
    <row r="53" spans="7:8" x14ac:dyDescent="0.25">
      <c r="G53" s="24"/>
      <c r="H53" s="24"/>
    </row>
    <row r="54" spans="7:8" x14ac:dyDescent="0.25">
      <c r="G54" s="26"/>
      <c r="H54" s="103"/>
    </row>
    <row r="55" spans="7:8" x14ac:dyDescent="0.25">
      <c r="G55" s="27"/>
      <c r="H55" s="27"/>
    </row>
    <row r="56" spans="7:8" x14ac:dyDescent="0.25">
      <c r="G56" s="27"/>
      <c r="H56" s="27"/>
    </row>
    <row r="57" spans="7:8" x14ac:dyDescent="0.25">
      <c r="G57" s="27"/>
      <c r="H57" s="27"/>
    </row>
    <row r="58" spans="7:8" x14ac:dyDescent="0.25">
      <c r="G58" s="27"/>
      <c r="H58" s="27"/>
    </row>
    <row r="59" spans="7:8" x14ac:dyDescent="0.25">
      <c r="G59" s="27"/>
      <c r="H59" s="27"/>
    </row>
    <row r="60" spans="7:8" x14ac:dyDescent="0.25">
      <c r="G60" s="27"/>
      <c r="H60" s="27"/>
    </row>
    <row r="61" spans="7:8" x14ac:dyDescent="0.25">
      <c r="G61" s="27"/>
      <c r="H61" s="27"/>
    </row>
    <row r="62" spans="7:8" x14ac:dyDescent="0.25">
      <c r="G62" s="27"/>
      <c r="H62" s="27"/>
    </row>
    <row r="63" spans="7:8" x14ac:dyDescent="0.25">
      <c r="G63" s="27"/>
      <c r="H63" s="27"/>
    </row>
    <row r="64" spans="7:8" x14ac:dyDescent="0.25">
      <c r="G64" s="27"/>
      <c r="H64" s="27"/>
    </row>
    <row r="65" spans="7:8" x14ac:dyDescent="0.25">
      <c r="G65" s="27"/>
      <c r="H65" s="27"/>
    </row>
    <row r="66" spans="7:8" x14ac:dyDescent="0.25">
      <c r="G66" s="30"/>
      <c r="H66" s="30"/>
    </row>
    <row r="67" spans="7:8" x14ac:dyDescent="0.25">
      <c r="G67" s="30"/>
      <c r="H67" s="30"/>
    </row>
    <row r="68" spans="7:8" x14ac:dyDescent="0.25">
      <c r="G68" s="29"/>
      <c r="H68" s="29"/>
    </row>
    <row r="69" spans="7:8" x14ac:dyDescent="0.25">
      <c r="G69" s="101"/>
      <c r="H69" s="102"/>
    </row>
    <row r="70" spans="7:8" x14ac:dyDescent="0.25">
      <c r="G70" s="101"/>
      <c r="H70" s="20"/>
    </row>
    <row r="71" spans="7:8" x14ac:dyDescent="0.25">
      <c r="G71" s="103"/>
      <c r="H71" s="103"/>
    </row>
    <row r="72" spans="7:8" x14ac:dyDescent="0.25">
      <c r="G72" s="21"/>
      <c r="H72" s="104"/>
    </row>
    <row r="73" spans="7:8" x14ac:dyDescent="0.25">
      <c r="G73" s="23"/>
      <c r="H73" s="23"/>
    </row>
    <row r="74" spans="7:8" x14ac:dyDescent="0.25">
      <c r="G74" s="24"/>
      <c r="H74" s="24"/>
    </row>
    <row r="75" spans="7:8" x14ac:dyDescent="0.25">
      <c r="G75" s="24"/>
      <c r="H75" s="24"/>
    </row>
    <row r="76" spans="7:8" x14ac:dyDescent="0.25">
      <c r="G76" s="24"/>
      <c r="H76" s="24"/>
    </row>
    <row r="77" spans="7:8" x14ac:dyDescent="0.25">
      <c r="G77" s="24"/>
      <c r="H77" s="24"/>
    </row>
    <row r="78" spans="7:8" x14ac:dyDescent="0.25">
      <c r="G78" s="24"/>
      <c r="H78" s="24"/>
    </row>
    <row r="79" spans="7:8" x14ac:dyDescent="0.25">
      <c r="G79" s="24"/>
      <c r="H79" s="24"/>
    </row>
    <row r="80" spans="7:8" x14ac:dyDescent="0.25">
      <c r="G80" s="24"/>
      <c r="H80" s="24"/>
    </row>
    <row r="81" spans="7:8" x14ac:dyDescent="0.25">
      <c r="G81" s="24"/>
      <c r="H81" s="24"/>
    </row>
    <row r="82" spans="7:8" x14ac:dyDescent="0.25">
      <c r="G82" s="26"/>
      <c r="H82" s="103"/>
    </row>
    <row r="83" spans="7:8" x14ac:dyDescent="0.25">
      <c r="G83" s="27"/>
      <c r="H83" s="27"/>
    </row>
    <row r="84" spans="7:8" x14ac:dyDescent="0.25">
      <c r="G84" s="27"/>
      <c r="H84" s="27"/>
    </row>
    <row r="85" spans="7:8" x14ac:dyDescent="0.25">
      <c r="G85" s="27"/>
      <c r="H85" s="27"/>
    </row>
    <row r="86" spans="7:8" x14ac:dyDescent="0.25">
      <c r="G86" s="27"/>
      <c r="H86" s="27"/>
    </row>
    <row r="87" spans="7:8" x14ac:dyDescent="0.25">
      <c r="G87" s="27"/>
      <c r="H87" s="27"/>
    </row>
    <row r="88" spans="7:8" x14ac:dyDescent="0.25">
      <c r="G88" s="27"/>
      <c r="H88" s="27"/>
    </row>
    <row r="89" spans="7:8" x14ac:dyDescent="0.25">
      <c r="G89" s="27"/>
      <c r="H89" s="27"/>
    </row>
    <row r="90" spans="7:8" x14ac:dyDescent="0.25">
      <c r="G90" s="27"/>
      <c r="H90" s="27"/>
    </row>
    <row r="91" spans="7:8" x14ac:dyDescent="0.25">
      <c r="G91" s="27"/>
      <c r="H91" s="27"/>
    </row>
    <row r="92" spans="7:8" x14ac:dyDescent="0.25">
      <c r="G92" s="27"/>
      <c r="H92" s="27"/>
    </row>
    <row r="93" spans="7:8" x14ac:dyDescent="0.25">
      <c r="G93" s="27"/>
      <c r="H93" s="27"/>
    </row>
    <row r="94" spans="7:8" x14ac:dyDescent="0.25">
      <c r="G94" s="101"/>
      <c r="H94" s="102"/>
    </row>
    <row r="95" spans="7:8" x14ac:dyDescent="0.25">
      <c r="G95" s="101"/>
      <c r="H95" s="20"/>
    </row>
    <row r="96" spans="7:8" x14ac:dyDescent="0.25">
      <c r="G96" s="103"/>
      <c r="H96" s="103"/>
    </row>
    <row r="97" spans="7:8" x14ac:dyDescent="0.25">
      <c r="G97" s="21"/>
      <c r="H97" s="104"/>
    </row>
    <row r="98" spans="7:8" x14ac:dyDescent="0.25">
      <c r="G98" s="23"/>
      <c r="H98" s="23"/>
    </row>
    <row r="99" spans="7:8" x14ac:dyDescent="0.25">
      <c r="G99" s="24"/>
      <c r="H99" s="24"/>
    </row>
    <row r="100" spans="7:8" x14ac:dyDescent="0.25">
      <c r="G100" s="24"/>
      <c r="H100" s="24"/>
    </row>
    <row r="101" spans="7:8" x14ac:dyDescent="0.25">
      <c r="G101" s="24"/>
      <c r="H101" s="24"/>
    </row>
    <row r="102" spans="7:8" x14ac:dyDescent="0.25">
      <c r="G102" s="24"/>
      <c r="H102" s="24"/>
    </row>
    <row r="103" spans="7:8" x14ac:dyDescent="0.25">
      <c r="G103" s="24"/>
      <c r="H103" s="24"/>
    </row>
    <row r="104" spans="7:8" x14ac:dyDescent="0.25">
      <c r="G104" s="24"/>
      <c r="H104" s="24"/>
    </row>
    <row r="105" spans="7:8" x14ac:dyDescent="0.25">
      <c r="G105" s="24"/>
      <c r="H105" s="24"/>
    </row>
    <row r="106" spans="7:8" x14ac:dyDescent="0.25">
      <c r="G106" s="24"/>
      <c r="H106" s="24"/>
    </row>
    <row r="107" spans="7:8" x14ac:dyDescent="0.25">
      <c r="G107" s="26"/>
      <c r="H107" s="103"/>
    </row>
    <row r="108" spans="7:8" x14ac:dyDescent="0.25">
      <c r="G108" s="27"/>
      <c r="H108" s="27"/>
    </row>
    <row r="109" spans="7:8" x14ac:dyDescent="0.25">
      <c r="G109" s="27"/>
      <c r="H109" s="27"/>
    </row>
    <row r="110" spans="7:8" x14ac:dyDescent="0.25">
      <c r="G110" s="27"/>
      <c r="H110" s="27"/>
    </row>
    <row r="111" spans="7:8" x14ac:dyDescent="0.25">
      <c r="G111" s="27"/>
      <c r="H111" s="27"/>
    </row>
    <row r="112" spans="7:8" x14ac:dyDescent="0.25">
      <c r="G112" s="27"/>
      <c r="H112" s="27"/>
    </row>
    <row r="113" spans="7:8" x14ac:dyDescent="0.25">
      <c r="G113" s="27"/>
      <c r="H113" s="27"/>
    </row>
    <row r="114" spans="7:8" x14ac:dyDescent="0.25">
      <c r="G114" s="27"/>
      <c r="H114" s="27"/>
    </row>
    <row r="115" spans="7:8" x14ac:dyDescent="0.25">
      <c r="G115" s="27"/>
      <c r="H115" s="27"/>
    </row>
    <row r="116" spans="7:8" x14ac:dyDescent="0.25">
      <c r="G116" s="27"/>
      <c r="H116" s="27"/>
    </row>
    <row r="117" spans="7:8" x14ac:dyDescent="0.25">
      <c r="G117" s="27"/>
      <c r="H117" s="27"/>
    </row>
    <row r="118" spans="7:8" x14ac:dyDescent="0.25">
      <c r="G118" s="27"/>
      <c r="H118" s="27"/>
    </row>
    <row r="119" spans="7:8" x14ac:dyDescent="0.25">
      <c r="G119" s="29"/>
      <c r="H119" s="29"/>
    </row>
    <row r="120" spans="7:8" x14ac:dyDescent="0.25">
      <c r="G120" s="29"/>
      <c r="H120" s="29"/>
    </row>
    <row r="121" spans="7:8" x14ac:dyDescent="0.25">
      <c r="G121" s="29"/>
      <c r="H121" s="29"/>
    </row>
    <row r="122" spans="7:8" x14ac:dyDescent="0.25">
      <c r="G122" s="101"/>
      <c r="H122" s="102"/>
    </row>
    <row r="123" spans="7:8" x14ac:dyDescent="0.25">
      <c r="G123" s="101"/>
      <c r="H123" s="20"/>
    </row>
    <row r="124" spans="7:8" x14ac:dyDescent="0.25">
      <c r="G124" s="103"/>
      <c r="H124" s="103"/>
    </row>
    <row r="125" spans="7:8" x14ac:dyDescent="0.25">
      <c r="G125" s="21"/>
      <c r="H125" s="104"/>
    </row>
    <row r="126" spans="7:8" x14ac:dyDescent="0.25">
      <c r="G126" s="23"/>
      <c r="H126" s="23"/>
    </row>
    <row r="127" spans="7:8" x14ac:dyDescent="0.25">
      <c r="G127" s="24"/>
      <c r="H127" s="24"/>
    </row>
    <row r="128" spans="7:8" x14ac:dyDescent="0.25">
      <c r="G128" s="24"/>
      <c r="H128" s="24"/>
    </row>
    <row r="129" spans="7:8" x14ac:dyDescent="0.25">
      <c r="G129" s="24"/>
      <c r="H129" s="24"/>
    </row>
    <row r="130" spans="7:8" x14ac:dyDescent="0.25">
      <c r="G130" s="24"/>
      <c r="H130" s="24"/>
    </row>
    <row r="131" spans="7:8" x14ac:dyDescent="0.25">
      <c r="G131" s="24"/>
      <c r="H131" s="24"/>
    </row>
    <row r="132" spans="7:8" x14ac:dyDescent="0.25">
      <c r="G132" s="24"/>
      <c r="H132" s="24"/>
    </row>
    <row r="133" spans="7:8" x14ac:dyDescent="0.25">
      <c r="G133" s="24"/>
      <c r="H133" s="24"/>
    </row>
    <row r="134" spans="7:8" x14ac:dyDescent="0.25">
      <c r="G134" s="24"/>
      <c r="H134" s="24"/>
    </row>
    <row r="135" spans="7:8" x14ac:dyDescent="0.25">
      <c r="G135" s="26"/>
      <c r="H135" s="103"/>
    </row>
    <row r="136" spans="7:8" x14ac:dyDescent="0.25">
      <c r="G136" s="27"/>
      <c r="H136" s="27"/>
    </row>
    <row r="137" spans="7:8" x14ac:dyDescent="0.25">
      <c r="G137" s="27"/>
      <c r="H137" s="27"/>
    </row>
    <row r="138" spans="7:8" x14ac:dyDescent="0.25">
      <c r="G138" s="27"/>
      <c r="H138" s="27"/>
    </row>
    <row r="139" spans="7:8" x14ac:dyDescent="0.25">
      <c r="G139" s="27"/>
      <c r="H139" s="27"/>
    </row>
    <row r="140" spans="7:8" x14ac:dyDescent="0.25">
      <c r="G140" s="27"/>
      <c r="H140" s="27"/>
    </row>
    <row r="141" spans="7:8" x14ac:dyDescent="0.25">
      <c r="G141" s="27"/>
      <c r="H141" s="27"/>
    </row>
    <row r="142" spans="7:8" x14ac:dyDescent="0.25">
      <c r="G142" s="27"/>
      <c r="H142" s="27"/>
    </row>
    <row r="143" spans="7:8" x14ac:dyDescent="0.25">
      <c r="G143" s="27"/>
      <c r="H143" s="27"/>
    </row>
    <row r="144" spans="7:8" x14ac:dyDescent="0.25">
      <c r="G144" s="27"/>
      <c r="H144" s="27"/>
    </row>
    <row r="145" spans="7:8" x14ac:dyDescent="0.25">
      <c r="G145" s="27"/>
      <c r="H145" s="27"/>
    </row>
    <row r="146" spans="7:8" x14ac:dyDescent="0.25">
      <c r="G146" s="27"/>
      <c r="H146" s="27"/>
    </row>
    <row r="147" spans="7:8" x14ac:dyDescent="0.25">
      <c r="G147" s="101"/>
      <c r="H147" s="102"/>
    </row>
    <row r="148" spans="7:8" x14ac:dyDescent="0.25">
      <c r="G148" s="101"/>
      <c r="H148" s="20"/>
    </row>
    <row r="149" spans="7:8" x14ac:dyDescent="0.25">
      <c r="G149" s="103"/>
      <c r="H149" s="103"/>
    </row>
    <row r="150" spans="7:8" x14ac:dyDescent="0.25">
      <c r="G150" s="21"/>
      <c r="H150" s="104"/>
    </row>
    <row r="151" spans="7:8" x14ac:dyDescent="0.25">
      <c r="G151" s="23"/>
      <c r="H151" s="23"/>
    </row>
    <row r="152" spans="7:8" x14ac:dyDescent="0.25">
      <c r="G152" s="24"/>
      <c r="H152" s="24"/>
    </row>
    <row r="153" spans="7:8" x14ac:dyDescent="0.25">
      <c r="G153" s="24"/>
      <c r="H153" s="24"/>
    </row>
    <row r="154" spans="7:8" x14ac:dyDescent="0.25">
      <c r="G154" s="24"/>
      <c r="H154" s="24"/>
    </row>
    <row r="155" spans="7:8" x14ac:dyDescent="0.25">
      <c r="G155" s="24"/>
      <c r="H155" s="24"/>
    </row>
    <row r="156" spans="7:8" x14ac:dyDescent="0.25">
      <c r="G156" s="24"/>
      <c r="H156" s="24"/>
    </row>
    <row r="157" spans="7:8" x14ac:dyDescent="0.25">
      <c r="G157" s="24"/>
      <c r="H157" s="24"/>
    </row>
    <row r="158" spans="7:8" x14ac:dyDescent="0.25">
      <c r="G158" s="24"/>
      <c r="H158" s="24"/>
    </row>
    <row r="159" spans="7:8" x14ac:dyDescent="0.25">
      <c r="G159" s="24"/>
      <c r="H159" s="24"/>
    </row>
    <row r="160" spans="7:8" x14ac:dyDescent="0.25">
      <c r="G160" s="26"/>
      <c r="H160" s="103"/>
    </row>
    <row r="161" spans="7:8" x14ac:dyDescent="0.25">
      <c r="G161" s="27"/>
      <c r="H161" s="27"/>
    </row>
    <row r="162" spans="7:8" x14ac:dyDescent="0.25">
      <c r="G162" s="27"/>
      <c r="H162" s="27"/>
    </row>
    <row r="163" spans="7:8" x14ac:dyDescent="0.25">
      <c r="G163" s="27"/>
      <c r="H163" s="27"/>
    </row>
    <row r="164" spans="7:8" x14ac:dyDescent="0.25">
      <c r="G164" s="27"/>
      <c r="H164" s="27"/>
    </row>
    <row r="165" spans="7:8" x14ac:dyDescent="0.25">
      <c r="G165" s="27"/>
      <c r="H165" s="27"/>
    </row>
    <row r="166" spans="7:8" x14ac:dyDescent="0.25">
      <c r="G166" s="27"/>
      <c r="H166" s="27"/>
    </row>
    <row r="167" spans="7:8" x14ac:dyDescent="0.25">
      <c r="G167" s="27"/>
      <c r="H167" s="27"/>
    </row>
    <row r="168" spans="7:8" x14ac:dyDescent="0.25">
      <c r="G168" s="27"/>
      <c r="H168" s="27"/>
    </row>
    <row r="169" spans="7:8" x14ac:dyDescent="0.25">
      <c r="G169" s="27"/>
      <c r="H169" s="27"/>
    </row>
    <row r="170" spans="7:8" x14ac:dyDescent="0.25">
      <c r="G170" s="27"/>
      <c r="H170" s="27"/>
    </row>
    <row r="171" spans="7:8" x14ac:dyDescent="0.25">
      <c r="G171" s="27"/>
      <c r="H171" s="27"/>
    </row>
    <row r="172" spans="7:8" x14ac:dyDescent="0.25">
      <c r="G172" s="29"/>
      <c r="H172" s="29"/>
    </row>
    <row r="173" spans="7:8" x14ac:dyDescent="0.25">
      <c r="G173" s="29"/>
      <c r="H173" s="29"/>
    </row>
  </sheetData>
  <mergeCells count="20">
    <mergeCell ref="AB5:AD5"/>
    <mergeCell ref="AB27:AD27"/>
    <mergeCell ref="S5:V5"/>
    <mergeCell ref="Y5:AA5"/>
    <mergeCell ref="W27:X27"/>
    <mergeCell ref="Y27:AA27"/>
    <mergeCell ref="A1:G2"/>
    <mergeCell ref="X1:AA2"/>
    <mergeCell ref="C27:F27"/>
    <mergeCell ref="G27:H27"/>
    <mergeCell ref="I27:K27"/>
    <mergeCell ref="L27:N27"/>
    <mergeCell ref="O27:R27"/>
    <mergeCell ref="S27:V27"/>
    <mergeCell ref="I5:K5"/>
    <mergeCell ref="C5:F5"/>
    <mergeCell ref="G5:H5"/>
    <mergeCell ref="W5:X5"/>
    <mergeCell ref="L5:N5"/>
    <mergeCell ref="O5:R5"/>
  </mergeCells>
  <pageMargins left="0.7" right="0.7" top="0.75" bottom="0.75" header="0.3" footer="0.3"/>
  <pageSetup paperSize="8" scale="5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77111117893"/>
    <pageSetUpPr fitToPage="1"/>
  </sheetPr>
  <dimension ref="A1:G15"/>
  <sheetViews>
    <sheetView view="pageBreakPreview" zoomScale="115" zoomScaleNormal="100" zoomScaleSheetLayoutView="115" workbookViewId="0">
      <selection activeCell="G14" sqref="G14"/>
    </sheetView>
  </sheetViews>
  <sheetFormatPr defaultColWidth="9.28515625" defaultRowHeight="15" x14ac:dyDescent="0.25"/>
  <cols>
    <col min="1" max="1" width="8.28515625" style="5" customWidth="1"/>
    <col min="2" max="2" width="35.7109375" style="5" customWidth="1"/>
    <col min="3" max="3" width="20.42578125" style="5" customWidth="1"/>
    <col min="4" max="4" width="19.28515625" style="5" customWidth="1"/>
    <col min="5" max="5" width="20.28515625" style="5" customWidth="1"/>
    <col min="6" max="6" width="19.5703125" style="5" customWidth="1"/>
    <col min="7" max="7" width="12.28515625" style="5" customWidth="1"/>
    <col min="8" max="8" width="18.28515625" style="5" customWidth="1"/>
    <col min="9" max="13" width="9.28515625" style="5" customWidth="1"/>
    <col min="14" max="16384" width="9.28515625" style="5"/>
  </cols>
  <sheetData>
    <row r="1" spans="1:7" ht="14.45" customHeight="1" x14ac:dyDescent="0.25">
      <c r="A1" s="327" t="s">
        <v>415</v>
      </c>
      <c r="B1" s="329"/>
      <c r="D1" s="1169" t="s">
        <v>412</v>
      </c>
      <c r="E1" s="1198"/>
      <c r="F1" s="65"/>
      <c r="G1" s="65"/>
    </row>
    <row r="2" spans="1:7" ht="27.6" customHeight="1" x14ac:dyDescent="0.25">
      <c r="A2" s="55"/>
      <c r="B2" s="1201" t="s">
        <v>67</v>
      </c>
      <c r="C2" s="1201"/>
      <c r="D2" s="1198"/>
      <c r="E2" s="1198"/>
      <c r="F2" s="65"/>
      <c r="G2" s="65"/>
    </row>
    <row r="3" spans="1:7" x14ac:dyDescent="0.25">
      <c r="A3" s="56"/>
      <c r="B3" s="1202" t="s">
        <v>68</v>
      </c>
      <c r="C3" s="1202"/>
      <c r="D3" s="1198"/>
      <c r="E3" s="1198"/>
      <c r="F3" s="65"/>
      <c r="G3" s="65"/>
    </row>
    <row r="4" spans="1:7" x14ac:dyDescent="0.25">
      <c r="A4" s="56"/>
      <c r="B4" s="56"/>
      <c r="C4" s="56"/>
      <c r="D4" s="57"/>
      <c r="E4" s="57"/>
      <c r="F4" s="57"/>
      <c r="G4" s="57"/>
    </row>
    <row r="5" spans="1:7" x14ac:dyDescent="0.25">
      <c r="A5" s="55"/>
      <c r="B5" s="55"/>
      <c r="C5" s="53"/>
      <c r="D5" s="28" t="s">
        <v>339</v>
      </c>
      <c r="F5" s="58"/>
      <c r="G5" s="58"/>
    </row>
    <row r="6" spans="1:7" x14ac:dyDescent="0.25">
      <c r="A6" s="79" t="s">
        <v>30</v>
      </c>
      <c r="B6" s="79" t="s">
        <v>31</v>
      </c>
      <c r="C6" s="187"/>
      <c r="D6" s="187"/>
      <c r="F6" s="66"/>
    </row>
    <row r="7" spans="1:7" ht="14.25" customHeight="1" x14ac:dyDescent="0.25">
      <c r="A7" s="7"/>
      <c r="B7" s="8" t="s">
        <v>310</v>
      </c>
      <c r="C7" s="85">
        <f>SUM(C8:C12)</f>
        <v>0</v>
      </c>
      <c r="D7" s="85">
        <v>0</v>
      </c>
      <c r="E7" s="66"/>
      <c r="F7" s="66"/>
    </row>
    <row r="8" spans="1:7" x14ac:dyDescent="0.25">
      <c r="A8" s="7"/>
      <c r="B8" s="15" t="s">
        <v>4</v>
      </c>
      <c r="C8" s="189">
        <v>0</v>
      </c>
      <c r="D8" s="189">
        <v>0</v>
      </c>
      <c r="E8" s="66"/>
      <c r="F8" s="66"/>
    </row>
    <row r="9" spans="1:7" x14ac:dyDescent="0.25">
      <c r="A9" s="7"/>
      <c r="B9" s="15" t="s">
        <v>302</v>
      </c>
      <c r="C9" s="158">
        <v>0</v>
      </c>
      <c r="D9" s="189">
        <v>0</v>
      </c>
      <c r="E9" s="66"/>
      <c r="F9" s="66"/>
    </row>
    <row r="10" spans="1:7" x14ac:dyDescent="0.25">
      <c r="A10" s="172"/>
      <c r="B10" s="89" t="s">
        <v>301</v>
      </c>
      <c r="C10" s="169">
        <v>0</v>
      </c>
      <c r="D10" s="189">
        <v>0</v>
      </c>
      <c r="E10" s="171"/>
      <c r="F10" s="171"/>
    </row>
    <row r="11" spans="1:7" x14ac:dyDescent="0.25">
      <c r="A11" s="7"/>
      <c r="B11" s="59" t="s">
        <v>311</v>
      </c>
      <c r="C11" s="85">
        <v>0</v>
      </c>
      <c r="D11" s="170"/>
      <c r="E11" s="66"/>
      <c r="F11" s="66"/>
    </row>
    <row r="12" spans="1:7" x14ac:dyDescent="0.25">
      <c r="A12" s="45"/>
      <c r="B12" s="15" t="s">
        <v>66</v>
      </c>
      <c r="C12" s="158"/>
      <c r="D12" s="189"/>
      <c r="E12" s="66"/>
      <c r="F12" s="66"/>
    </row>
    <row r="13" spans="1:7" x14ac:dyDescent="0.25">
      <c r="A13" s="7"/>
      <c r="B13" s="59" t="s">
        <v>312</v>
      </c>
      <c r="C13" s="1199">
        <v>0</v>
      </c>
      <c r="D13" s="85">
        <v>0</v>
      </c>
      <c r="E13" s="66"/>
      <c r="F13" s="66"/>
    </row>
    <row r="14" spans="1:7" x14ac:dyDescent="0.25">
      <c r="A14" s="7"/>
      <c r="B14" s="15" t="s">
        <v>313</v>
      </c>
      <c r="C14" s="1200"/>
      <c r="D14" s="188">
        <v>0</v>
      </c>
      <c r="E14" s="66"/>
      <c r="F14" s="66"/>
    </row>
    <row r="15" spans="1:7" ht="14.25" customHeight="1" x14ac:dyDescent="0.25">
      <c r="A15" s="7"/>
      <c r="B15" s="8"/>
      <c r="C15" s="93"/>
      <c r="D15" s="63"/>
      <c r="E15" s="66"/>
      <c r="F15" s="66"/>
    </row>
  </sheetData>
  <mergeCells count="4">
    <mergeCell ref="D1:E3"/>
    <mergeCell ref="C13:C14"/>
    <mergeCell ref="B2:C2"/>
    <mergeCell ref="B3:C3"/>
  </mergeCells>
  <phoneticPr fontId="3" type="noConversion"/>
  <pageMargins left="0.56999999999999995" right="0.84" top="1" bottom="1" header="0.5" footer="0.5"/>
  <pageSetup paperSize="9" scale="8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-0.249977111117893"/>
  </sheetPr>
  <dimension ref="E6:G21"/>
  <sheetViews>
    <sheetView workbookViewId="0">
      <selection activeCell="E18" sqref="E18:G18"/>
    </sheetView>
  </sheetViews>
  <sheetFormatPr defaultRowHeight="15" x14ac:dyDescent="0.25"/>
  <cols>
    <col min="5" max="5" width="12.28515625" style="6" bestFit="1" customWidth="1"/>
    <col min="6" max="6" width="11.85546875" customWidth="1"/>
    <col min="7" max="7" width="13" customWidth="1"/>
  </cols>
  <sheetData>
    <row r="6" spans="5:7" x14ac:dyDescent="0.25">
      <c r="E6" s="6">
        <v>1009990538</v>
      </c>
      <c r="F6" s="6">
        <v>842451348</v>
      </c>
      <c r="G6" s="6">
        <f>+E6-F6</f>
        <v>167539190</v>
      </c>
    </row>
    <row r="7" spans="5:7" x14ac:dyDescent="0.25">
      <c r="E7" s="6">
        <v>193541000</v>
      </c>
      <c r="F7" s="6">
        <v>190913500</v>
      </c>
      <c r="G7" s="6">
        <f t="shared" ref="G7:G15" si="0">+E7-F7</f>
        <v>2627500</v>
      </c>
    </row>
    <row r="8" spans="5:7" x14ac:dyDescent="0.25">
      <c r="E8" s="6">
        <v>114483000</v>
      </c>
      <c r="F8" s="6">
        <v>115049441</v>
      </c>
      <c r="G8" s="6">
        <f t="shared" si="0"/>
        <v>-566441</v>
      </c>
    </row>
    <row r="9" spans="5:7" x14ac:dyDescent="0.25">
      <c r="E9" s="6">
        <v>-55929462</v>
      </c>
      <c r="F9" s="6">
        <v>-94830091</v>
      </c>
      <c r="G9" s="6">
        <f t="shared" si="0"/>
        <v>38900629</v>
      </c>
    </row>
    <row r="10" spans="5:7" x14ac:dyDescent="0.25">
      <c r="E10" s="6">
        <v>298481000</v>
      </c>
      <c r="F10" s="6">
        <v>264138400</v>
      </c>
      <c r="G10" s="6">
        <f t="shared" si="0"/>
        <v>34342600</v>
      </c>
    </row>
    <row r="11" spans="5:7" x14ac:dyDescent="0.25">
      <c r="E11" s="6">
        <v>176227000</v>
      </c>
      <c r="F11" s="6">
        <v>163100643</v>
      </c>
      <c r="G11" s="6">
        <f t="shared" si="0"/>
        <v>13126357</v>
      </c>
    </row>
    <row r="12" spans="5:7" x14ac:dyDescent="0.25">
      <c r="E12" s="6">
        <v>115744000</v>
      </c>
      <c r="F12" s="6">
        <v>94335200</v>
      </c>
      <c r="G12" s="6">
        <f t="shared" si="0"/>
        <v>21408800</v>
      </c>
    </row>
    <row r="13" spans="5:7" x14ac:dyDescent="0.25">
      <c r="E13" s="6">
        <v>134347000</v>
      </c>
      <c r="F13" s="6">
        <v>90951733</v>
      </c>
      <c r="G13" s="6">
        <f t="shared" si="0"/>
        <v>43395267</v>
      </c>
    </row>
    <row r="14" spans="5:7" x14ac:dyDescent="0.25">
      <c r="E14" s="6">
        <v>33097000</v>
      </c>
      <c r="F14" s="6">
        <v>18792522</v>
      </c>
      <c r="G14" s="6">
        <f t="shared" si="0"/>
        <v>14304478</v>
      </c>
    </row>
    <row r="15" spans="5:7" x14ac:dyDescent="0.25">
      <c r="E15" s="6">
        <f>SUM(E7:E14)</f>
        <v>1009990538</v>
      </c>
      <c r="F15" s="6">
        <f>SUM(F7:F14)</f>
        <v>842451348</v>
      </c>
      <c r="G15" s="6">
        <f t="shared" si="0"/>
        <v>167539190</v>
      </c>
    </row>
    <row r="16" spans="5:7" x14ac:dyDescent="0.25">
      <c r="E16" s="6">
        <v>1065920000</v>
      </c>
    </row>
    <row r="17" spans="5:7" x14ac:dyDescent="0.25">
      <c r="E17" s="6">
        <f>+E16-E15</f>
        <v>55929462</v>
      </c>
      <c r="F17" s="6">
        <v>56009541</v>
      </c>
      <c r="G17" s="6">
        <f>+E17-F17</f>
        <v>-80079</v>
      </c>
    </row>
    <row r="18" spans="5:7" x14ac:dyDescent="0.25">
      <c r="E18" s="6">
        <f>+E17+E15</f>
        <v>1065920000</v>
      </c>
      <c r="F18" s="6">
        <f t="shared" ref="F18:G18" si="1">+F17+F15</f>
        <v>898460889</v>
      </c>
      <c r="G18" s="6">
        <f t="shared" si="1"/>
        <v>167459111</v>
      </c>
    </row>
    <row r="19" spans="5:7" x14ac:dyDescent="0.25">
      <c r="G19" s="6"/>
    </row>
    <row r="20" spans="5:7" x14ac:dyDescent="0.25">
      <c r="G20" s="6"/>
    </row>
    <row r="21" spans="5:7" x14ac:dyDescent="0.25">
      <c r="G21" s="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32"/>
  <sheetViews>
    <sheetView zoomScale="70" zoomScaleNormal="70" workbookViewId="0">
      <selection activeCell="J8" sqref="J8"/>
    </sheetView>
  </sheetViews>
  <sheetFormatPr defaultRowHeight="15" x14ac:dyDescent="0.25"/>
  <cols>
    <col min="2" max="2" width="23.85546875" customWidth="1"/>
    <col min="3" max="3" width="29.7109375" customWidth="1"/>
    <col min="4" max="4" width="36" customWidth="1"/>
    <col min="5" max="5" width="12.42578125" customWidth="1"/>
    <col min="7" max="7" width="33.28515625" customWidth="1"/>
    <col min="8" max="8" width="22.7109375" customWidth="1"/>
    <col min="9" max="9" width="29.7109375" customWidth="1"/>
    <col min="10" max="10" width="30.28515625" bestFit="1" customWidth="1"/>
  </cols>
  <sheetData>
    <row r="1" spans="1:10" x14ac:dyDescent="0.25">
      <c r="A1" s="29"/>
      <c r="B1" s="29"/>
      <c r="C1" s="105" t="s">
        <v>348</v>
      </c>
      <c r="D1" s="95" t="s">
        <v>339</v>
      </c>
      <c r="H1" s="105" t="s">
        <v>349</v>
      </c>
      <c r="I1" s="95" t="s">
        <v>339</v>
      </c>
    </row>
    <row r="2" spans="1:10" x14ac:dyDescent="0.25">
      <c r="A2" s="91"/>
      <c r="B2" s="210" t="s">
        <v>31</v>
      </c>
      <c r="C2" s="210" t="s">
        <v>207</v>
      </c>
      <c r="D2" s="210" t="s">
        <v>315</v>
      </c>
      <c r="F2" s="91"/>
      <c r="G2" s="210" t="s">
        <v>31</v>
      </c>
      <c r="H2" s="210" t="s">
        <v>207</v>
      </c>
      <c r="I2" s="210" t="s">
        <v>315</v>
      </c>
      <c r="J2" s="226" t="s">
        <v>350</v>
      </c>
    </row>
    <row r="3" spans="1:10" ht="30" x14ac:dyDescent="0.25">
      <c r="A3" s="19" t="s">
        <v>218</v>
      </c>
      <c r="B3" s="214" t="s">
        <v>280</v>
      </c>
      <c r="C3" s="214" t="s">
        <v>216</v>
      </c>
      <c r="D3" s="217">
        <v>25000000</v>
      </c>
      <c r="F3" s="19" t="s">
        <v>218</v>
      </c>
      <c r="G3" s="214" t="s">
        <v>280</v>
      </c>
      <c r="H3" s="214" t="s">
        <v>216</v>
      </c>
      <c r="I3" s="217">
        <v>25000000</v>
      </c>
      <c r="J3" s="1"/>
    </row>
    <row r="4" spans="1:10" ht="30" x14ac:dyDescent="0.25">
      <c r="A4" s="19" t="s">
        <v>316</v>
      </c>
      <c r="B4" s="215" t="s">
        <v>317</v>
      </c>
      <c r="C4" s="214" t="s">
        <v>216</v>
      </c>
      <c r="D4" s="224">
        <v>125000000</v>
      </c>
      <c r="F4" s="19" t="s">
        <v>316</v>
      </c>
      <c r="G4" s="215" t="s">
        <v>317</v>
      </c>
      <c r="H4" s="214" t="s">
        <v>216</v>
      </c>
      <c r="I4" s="224">
        <v>144000000</v>
      </c>
      <c r="J4" s="231" t="s">
        <v>352</v>
      </c>
    </row>
    <row r="5" spans="1:10" ht="30" x14ac:dyDescent="0.25">
      <c r="A5" s="19" t="s">
        <v>219</v>
      </c>
      <c r="B5" s="215" t="s">
        <v>318</v>
      </c>
      <c r="C5" s="214" t="s">
        <v>216</v>
      </c>
      <c r="D5" s="224">
        <v>80000000</v>
      </c>
      <c r="F5" s="19" t="s">
        <v>219</v>
      </c>
      <c r="G5" s="215" t="s">
        <v>318</v>
      </c>
      <c r="H5" s="214" t="s">
        <v>216</v>
      </c>
      <c r="I5" s="224">
        <v>15244000</v>
      </c>
      <c r="J5" s="231" t="s">
        <v>352</v>
      </c>
    </row>
    <row r="6" spans="1:10" ht="30" x14ac:dyDescent="0.25">
      <c r="A6" s="19" t="s">
        <v>201</v>
      </c>
      <c r="B6" s="215" t="s">
        <v>319</v>
      </c>
      <c r="C6" s="214" t="s">
        <v>216</v>
      </c>
      <c r="D6" s="217">
        <v>238710000</v>
      </c>
      <c r="F6" s="19" t="s">
        <v>201</v>
      </c>
      <c r="G6" s="215" t="s">
        <v>319</v>
      </c>
      <c r="H6" s="214" t="s">
        <v>216</v>
      </c>
      <c r="I6" s="217">
        <v>238710000</v>
      </c>
      <c r="J6" s="1"/>
    </row>
    <row r="7" spans="1:10" ht="60" x14ac:dyDescent="0.25">
      <c r="A7" s="19" t="s">
        <v>320</v>
      </c>
      <c r="B7" s="214" t="s">
        <v>281</v>
      </c>
      <c r="C7" s="214" t="s">
        <v>216</v>
      </c>
      <c r="D7" s="217">
        <v>60000000</v>
      </c>
      <c r="F7" s="19" t="s">
        <v>320</v>
      </c>
      <c r="G7" s="214" t="s">
        <v>281</v>
      </c>
      <c r="H7" s="214" t="s">
        <v>216</v>
      </c>
      <c r="I7" s="217">
        <v>60000000</v>
      </c>
      <c r="J7" s="1"/>
    </row>
    <row r="8" spans="1:10" ht="30" x14ac:dyDescent="0.25">
      <c r="A8" s="19" t="s">
        <v>202</v>
      </c>
      <c r="B8" s="215" t="s">
        <v>321</v>
      </c>
      <c r="C8" s="214" t="s">
        <v>216</v>
      </c>
      <c r="D8" s="217">
        <v>60756000</v>
      </c>
      <c r="F8" s="19" t="s">
        <v>202</v>
      </c>
      <c r="G8" s="215" t="s">
        <v>321</v>
      </c>
      <c r="H8" s="214" t="s">
        <v>216</v>
      </c>
      <c r="I8" s="217">
        <v>60756000</v>
      </c>
      <c r="J8" s="96" t="s">
        <v>352</v>
      </c>
    </row>
    <row r="9" spans="1:10" ht="30" x14ac:dyDescent="0.25">
      <c r="A9" s="19" t="s">
        <v>220</v>
      </c>
      <c r="B9" s="216" t="s">
        <v>282</v>
      </c>
      <c r="C9" s="214" t="s">
        <v>216</v>
      </c>
      <c r="D9" s="217">
        <v>452758000</v>
      </c>
      <c r="F9" s="19" t="s">
        <v>220</v>
      </c>
      <c r="G9" s="216" t="s">
        <v>282</v>
      </c>
      <c r="H9" s="214" t="s">
        <v>216</v>
      </c>
      <c r="I9" s="217">
        <v>452758000</v>
      </c>
      <c r="J9" s="1"/>
    </row>
    <row r="10" spans="1:10" ht="30" x14ac:dyDescent="0.25">
      <c r="A10" s="19" t="s">
        <v>322</v>
      </c>
      <c r="B10" s="222" t="s">
        <v>323</v>
      </c>
      <c r="C10" s="214" t="s">
        <v>216</v>
      </c>
      <c r="D10" s="217">
        <v>125000000</v>
      </c>
      <c r="F10" s="19" t="s">
        <v>322</v>
      </c>
      <c r="G10" s="222" t="s">
        <v>323</v>
      </c>
      <c r="H10" s="214" t="s">
        <v>216</v>
      </c>
      <c r="I10" s="217">
        <v>125000000</v>
      </c>
      <c r="J10" s="1"/>
    </row>
    <row r="11" spans="1:10" ht="30" x14ac:dyDescent="0.25">
      <c r="A11" s="19" t="s">
        <v>208</v>
      </c>
      <c r="B11" s="222" t="s">
        <v>285</v>
      </c>
      <c r="C11" s="214" t="s">
        <v>216</v>
      </c>
      <c r="D11" s="217">
        <v>2360000</v>
      </c>
      <c r="F11" s="19" t="s">
        <v>208</v>
      </c>
      <c r="G11" s="222" t="s">
        <v>285</v>
      </c>
      <c r="H11" s="214" t="s">
        <v>216</v>
      </c>
      <c r="I11" s="217">
        <v>2360000</v>
      </c>
      <c r="J11" s="1"/>
    </row>
    <row r="12" spans="1:10" ht="30" x14ac:dyDescent="0.25">
      <c r="A12" s="19" t="s">
        <v>221</v>
      </c>
      <c r="B12" s="223" t="s">
        <v>324</v>
      </c>
      <c r="C12" s="214" t="s">
        <v>216</v>
      </c>
      <c r="D12" s="217">
        <v>200000000</v>
      </c>
      <c r="F12" s="19" t="s">
        <v>221</v>
      </c>
      <c r="G12" s="223" t="s">
        <v>324</v>
      </c>
      <c r="H12" s="214" t="s">
        <v>216</v>
      </c>
      <c r="I12" s="217">
        <v>200000000</v>
      </c>
      <c r="J12" s="1"/>
    </row>
    <row r="13" spans="1:10" ht="30" x14ac:dyDescent="0.25">
      <c r="A13" s="19" t="s">
        <v>245</v>
      </c>
      <c r="B13" s="214" t="s">
        <v>325</v>
      </c>
      <c r="C13" s="214" t="s">
        <v>216</v>
      </c>
      <c r="D13" s="225">
        <v>30000000</v>
      </c>
      <c r="F13" s="19" t="s">
        <v>245</v>
      </c>
      <c r="G13" s="214" t="s">
        <v>325</v>
      </c>
      <c r="H13" s="214" t="s">
        <v>216</v>
      </c>
      <c r="I13" s="217">
        <v>0</v>
      </c>
      <c r="J13" s="1" t="s">
        <v>354</v>
      </c>
    </row>
    <row r="14" spans="1:10" ht="30" x14ac:dyDescent="0.25">
      <c r="A14" s="19" t="s">
        <v>270</v>
      </c>
      <c r="B14" s="216" t="s">
        <v>326</v>
      </c>
      <c r="C14" s="214" t="s">
        <v>216</v>
      </c>
      <c r="D14" s="225">
        <v>25000000</v>
      </c>
      <c r="F14" s="19" t="s">
        <v>270</v>
      </c>
      <c r="G14" s="216" t="s">
        <v>326</v>
      </c>
      <c r="H14" s="214" t="s">
        <v>216</v>
      </c>
      <c r="I14" s="217">
        <v>0</v>
      </c>
      <c r="J14" s="1" t="s">
        <v>354</v>
      </c>
    </row>
    <row r="15" spans="1:10" ht="30" x14ac:dyDescent="0.25">
      <c r="A15" s="19" t="s">
        <v>271</v>
      </c>
      <c r="B15" s="215" t="s">
        <v>337</v>
      </c>
      <c r="C15" s="214" t="s">
        <v>216</v>
      </c>
      <c r="D15" s="217">
        <v>124244000</v>
      </c>
      <c r="F15" s="19" t="s">
        <v>271</v>
      </c>
      <c r="G15" s="215" t="s">
        <v>337</v>
      </c>
      <c r="H15" s="214" t="s">
        <v>216</v>
      </c>
      <c r="I15" s="217">
        <v>0</v>
      </c>
      <c r="J15" s="1" t="s">
        <v>355</v>
      </c>
    </row>
    <row r="16" spans="1:10" ht="30" x14ac:dyDescent="0.25">
      <c r="A16" s="19" t="s">
        <v>327</v>
      </c>
      <c r="B16" s="1" t="s">
        <v>338</v>
      </c>
      <c r="C16" s="214" t="s">
        <v>216</v>
      </c>
      <c r="D16" s="225">
        <v>15000000</v>
      </c>
      <c r="F16" s="19" t="s">
        <v>327</v>
      </c>
      <c r="G16" s="1" t="s">
        <v>338</v>
      </c>
      <c r="H16" s="214" t="s">
        <v>216</v>
      </c>
      <c r="I16" s="217">
        <v>0</v>
      </c>
      <c r="J16" s="1" t="s">
        <v>354</v>
      </c>
    </row>
    <row r="17" spans="1:10" ht="30" x14ac:dyDescent="0.25">
      <c r="A17" s="19" t="s">
        <v>272</v>
      </c>
      <c r="B17" s="1" t="s">
        <v>340</v>
      </c>
      <c r="C17" s="214" t="s">
        <v>216</v>
      </c>
      <c r="D17" s="224">
        <v>15000000</v>
      </c>
      <c r="F17" s="19" t="s">
        <v>272</v>
      </c>
      <c r="G17" s="1" t="s">
        <v>340</v>
      </c>
      <c r="H17" s="214" t="s">
        <v>216</v>
      </c>
      <c r="I17" s="217">
        <v>6000000</v>
      </c>
      <c r="J17" s="1"/>
    </row>
    <row r="18" spans="1:10" ht="30" x14ac:dyDescent="0.25">
      <c r="A18" s="19" t="s">
        <v>273</v>
      </c>
      <c r="B18" s="215" t="s">
        <v>328</v>
      </c>
      <c r="C18" s="214" t="s">
        <v>253</v>
      </c>
      <c r="D18" s="217">
        <v>6350000</v>
      </c>
      <c r="F18" s="19" t="s">
        <v>273</v>
      </c>
      <c r="G18" s="215" t="s">
        <v>328</v>
      </c>
      <c r="H18" s="214" t="s">
        <v>253</v>
      </c>
      <c r="I18" s="217">
        <v>6350000</v>
      </c>
      <c r="J18" s="1"/>
    </row>
    <row r="19" spans="1:10" x14ac:dyDescent="0.25">
      <c r="A19" s="19"/>
      <c r="B19" s="1"/>
      <c r="C19" s="1"/>
      <c r="D19" s="1"/>
      <c r="F19" s="19"/>
      <c r="G19" s="1" t="s">
        <v>351</v>
      </c>
      <c r="H19" s="1"/>
      <c r="I19" s="217">
        <v>130000000</v>
      </c>
      <c r="J19" s="96" t="s">
        <v>352</v>
      </c>
    </row>
    <row r="20" spans="1:10" x14ac:dyDescent="0.25">
      <c r="A20" s="19"/>
      <c r="B20" s="215"/>
      <c r="C20" s="214"/>
      <c r="D20" s="214">
        <v>0</v>
      </c>
      <c r="F20" s="19"/>
      <c r="G20" s="215"/>
      <c r="H20" s="214"/>
      <c r="I20" s="214">
        <v>0</v>
      </c>
      <c r="J20" s="1"/>
    </row>
    <row r="21" spans="1:10" x14ac:dyDescent="0.25">
      <c r="A21" s="19"/>
      <c r="B21" s="213"/>
      <c r="C21" s="211"/>
      <c r="D21" s="214">
        <v>0</v>
      </c>
      <c r="F21" s="19"/>
      <c r="G21" s="213"/>
      <c r="H21" s="211"/>
      <c r="I21" s="214">
        <v>0</v>
      </c>
      <c r="J21" s="1"/>
    </row>
    <row r="22" spans="1:10" x14ac:dyDescent="0.25">
      <c r="A22" s="90"/>
      <c r="B22" s="212" t="s">
        <v>186</v>
      </c>
      <c r="C22" s="96"/>
      <c r="D22" s="167">
        <f>SUM(D3:D21)</f>
        <v>1585178000</v>
      </c>
      <c r="E22" s="6">
        <f>+D22-I22</f>
        <v>119000000</v>
      </c>
      <c r="F22" s="90"/>
      <c r="G22" s="212" t="s">
        <v>186</v>
      </c>
      <c r="H22" s="96"/>
      <c r="I22" s="167">
        <f>SUM(I3:I21)</f>
        <v>1466178000</v>
      </c>
      <c r="J22" s="1"/>
    </row>
    <row r="23" spans="1:10" x14ac:dyDescent="0.25">
      <c r="A23" s="106"/>
      <c r="B23" s="106"/>
      <c r="C23" s="106"/>
      <c r="D23" s="106"/>
    </row>
    <row r="24" spans="1:10" x14ac:dyDescent="0.25">
      <c r="G24" t="s">
        <v>350</v>
      </c>
      <c r="H24" s="1203" t="s">
        <v>353</v>
      </c>
      <c r="I24" s="1203"/>
      <c r="J24" s="1203"/>
    </row>
    <row r="25" spans="1:10" x14ac:dyDescent="0.25">
      <c r="B25" s="229" t="s">
        <v>341</v>
      </c>
      <c r="C25" s="229" t="s">
        <v>344</v>
      </c>
      <c r="D25" s="229" t="s">
        <v>343</v>
      </c>
      <c r="H25" s="1203"/>
      <c r="I25" s="1203"/>
      <c r="J25" s="1203"/>
    </row>
    <row r="26" spans="1:10" x14ac:dyDescent="0.25">
      <c r="B26" s="230" t="s">
        <v>342</v>
      </c>
      <c r="C26" s="227">
        <v>27289000</v>
      </c>
      <c r="D26" s="228">
        <v>50000000</v>
      </c>
    </row>
    <row r="27" spans="1:10" x14ac:dyDescent="0.25">
      <c r="B27" s="105" t="s">
        <v>345</v>
      </c>
      <c r="C27" s="229" t="s">
        <v>344</v>
      </c>
      <c r="D27" s="229" t="s">
        <v>343</v>
      </c>
    </row>
    <row r="28" spans="1:10" x14ac:dyDescent="0.25">
      <c r="B28" s="230" t="s">
        <v>346</v>
      </c>
      <c r="C28" s="227">
        <v>261000000</v>
      </c>
      <c r="D28" s="227">
        <v>261000000</v>
      </c>
    </row>
    <row r="29" spans="1:10" x14ac:dyDescent="0.25">
      <c r="B29" s="230" t="s">
        <v>347</v>
      </c>
      <c r="C29" s="227">
        <v>30000000</v>
      </c>
      <c r="D29" s="227">
        <v>30000000</v>
      </c>
    </row>
    <row r="30" spans="1:10" x14ac:dyDescent="0.25">
      <c r="C30" s="227"/>
      <c r="D30" s="227"/>
    </row>
    <row r="31" spans="1:10" x14ac:dyDescent="0.25">
      <c r="C31" s="227"/>
      <c r="D31" s="227">
        <v>0</v>
      </c>
    </row>
    <row r="32" spans="1:10" x14ac:dyDescent="0.25">
      <c r="C32" s="227"/>
      <c r="D32" s="227"/>
    </row>
  </sheetData>
  <mergeCells count="1">
    <mergeCell ref="H24:J25"/>
  </mergeCells>
  <pageMargins left="0.7" right="0.7" top="0.75" bottom="0.75" header="0.3" footer="0.3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P193"/>
  <sheetViews>
    <sheetView view="pageBreakPreview" topLeftCell="A37" zoomScaleNormal="100" zoomScaleSheetLayoutView="100" workbookViewId="0">
      <selection activeCell="A4" sqref="A4:B4"/>
    </sheetView>
  </sheetViews>
  <sheetFormatPr defaultRowHeight="15" x14ac:dyDescent="0.25"/>
  <cols>
    <col min="1" max="1" width="5.85546875" style="380" customWidth="1"/>
    <col min="2" max="2" width="48.5703125" style="382" customWidth="1"/>
    <col min="3" max="3" width="10.85546875" style="382" customWidth="1"/>
    <col min="4" max="4" width="10.85546875" style="923" hidden="1" customWidth="1"/>
    <col min="5" max="5" width="10.85546875" style="943" customWidth="1"/>
    <col min="6" max="6" width="10.85546875" style="382" hidden="1" customWidth="1"/>
    <col min="7" max="7" width="10.85546875" style="382" customWidth="1"/>
    <col min="8" max="8" width="10.85546875" style="923" hidden="1" customWidth="1"/>
    <col min="9" max="9" width="10.85546875" style="943" customWidth="1"/>
    <col min="10" max="10" width="10.85546875" style="382" hidden="1" customWidth="1"/>
    <col min="11" max="11" width="10.85546875" style="382" customWidth="1"/>
    <col min="12" max="12" width="10.85546875" style="931" customWidth="1"/>
    <col min="13" max="13" width="10.85546875" style="382" customWidth="1"/>
    <col min="14" max="14" width="10.85546875" style="923" hidden="1" customWidth="1"/>
    <col min="15" max="15" width="10.85546875" style="931" customWidth="1"/>
    <col min="16" max="16" width="11.28515625" customWidth="1"/>
  </cols>
  <sheetData>
    <row r="1" spans="1:15" ht="40.5" customHeight="1" x14ac:dyDescent="0.25">
      <c r="A1" s="469"/>
      <c r="B1" s="463"/>
      <c r="C1" s="463"/>
      <c r="D1" s="916"/>
      <c r="E1" s="935"/>
      <c r="F1" s="463"/>
      <c r="G1" s="463"/>
      <c r="H1" s="916"/>
      <c r="I1" s="935"/>
      <c r="J1" s="463"/>
      <c r="K1" s="463"/>
      <c r="L1" s="1093" t="s">
        <v>667</v>
      </c>
      <c r="M1" s="1093"/>
      <c r="N1" s="1093"/>
      <c r="O1" s="1093"/>
    </row>
    <row r="2" spans="1:15" ht="36" customHeight="1" x14ac:dyDescent="0.25">
      <c r="A2" s="1092" t="s">
        <v>666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</row>
    <row r="3" spans="1:15" x14ac:dyDescent="0.25">
      <c r="A3" s="384"/>
      <c r="B3" s="462" t="s">
        <v>37</v>
      </c>
      <c r="C3" s="671"/>
      <c r="D3" s="917"/>
      <c r="E3" s="944"/>
      <c r="F3" s="673"/>
      <c r="G3" s="671"/>
      <c r="H3" s="917"/>
      <c r="I3" s="936"/>
      <c r="J3" s="459"/>
      <c r="K3" s="671"/>
      <c r="L3" s="672"/>
      <c r="M3" s="459"/>
      <c r="N3" s="948"/>
      <c r="O3" s="950"/>
    </row>
    <row r="4" spans="1:15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949" t="s">
        <v>469</v>
      </c>
    </row>
    <row r="5" spans="1:15" x14ac:dyDescent="0.25">
      <c r="A5" s="387" t="s">
        <v>11</v>
      </c>
      <c r="B5" s="348" t="s">
        <v>69</v>
      </c>
      <c r="C5" s="392">
        <f>+'10. NGVK'!C5+'9. EFMK'!C5+'8.Szivárvány'!C5+'7. Pitypang'!C5+'6.MosolyvárBölcs'!C5+'5. BBölcs'!C5+'4. PMH'!C5+'11. BEK'!C5</f>
        <v>0</v>
      </c>
      <c r="D5" s="918">
        <f>+'10. NGVK'!D5+'9. EFMK'!D5+'8.Szivárvány'!D5+'7. Pitypang'!D5+'6.MosolyvárBölcs'!D5+'5. BBölcs'!D5+'4. PMH'!D5+'11. BEK'!D5</f>
        <v>0</v>
      </c>
      <c r="E5" s="938">
        <f>+'10. NGVK'!E5+'9. EFMK'!E5+'8.Szivárvány'!E5+'7. Pitypang'!E5+'6.MosolyvárBölcs'!E5+'5. BBölcs'!E5+'4. PMH'!E5+'11. BEK'!E5</f>
        <v>0</v>
      </c>
      <c r="F5" s="392">
        <f>+'10. NGVK'!F5+'9. EFMK'!F5+'8.Szivárvány'!F5+'7. Pitypang'!F5+'6.MosolyvárBölcs'!F5+'5. BBölcs'!F5+'4. PMH'!F5+'11. BEK'!F5</f>
        <v>0</v>
      </c>
      <c r="G5" s="392">
        <f>+'10. NGVK'!G5+'9. EFMK'!G5+'8.Szivárvány'!G5+'7. Pitypang'!G5+'6.MosolyvárBölcs'!G5+'5. BBölcs'!G5+'4. PMH'!G5+'11. BEK'!G5</f>
        <v>0</v>
      </c>
      <c r="H5" s="918">
        <f>+'10. NGVK'!H5+'9. EFMK'!H5+'8.Szivárvány'!H5+'7. Pitypang'!H5+'6.MosolyvárBölcs'!H5+'5. BBölcs'!H5+'4. PMH'!H5+'11. BEK'!H5</f>
        <v>0</v>
      </c>
      <c r="I5" s="938">
        <f>+'10. NGVK'!I5+'9. EFMK'!I5+'8.Szivárvány'!I5+'7. Pitypang'!I5+'6.MosolyvárBölcs'!I5+'5. BBölcs'!I5+'4. PMH'!I5+'11. BEK'!I5</f>
        <v>0</v>
      </c>
      <c r="J5" s="392">
        <f>+'10. NGVK'!J5+'9. EFMK'!J5+'8.Szivárvány'!J5+'7. Pitypang'!J5+'6.MosolyvárBölcs'!J5+'5. BBölcs'!J5+'4. PMH'!J5+'11. BEK'!J5</f>
        <v>0</v>
      </c>
      <c r="K5" s="392">
        <f>+'10. NGVK'!K5+'9. EFMK'!K5+'8.Szivárvány'!K5+'7. Pitypang'!K5+'6.MosolyvárBölcs'!K5+'5. BBölcs'!K5+'4. PMH'!K5+'11. BEK'!K5</f>
        <v>0</v>
      </c>
      <c r="L5" s="926">
        <f>+'10. NGVK'!L5+'9. EFMK'!L5+'8.Szivárvány'!L5+'7. Pitypang'!L5+'6.MosolyvárBölcs'!L5+'5. BBölcs'!L5+'4. PMH'!L5+'11. BEK'!L5</f>
        <v>0</v>
      </c>
      <c r="M5" s="392">
        <f>+'10. NGVK'!M5+'9. EFMK'!M5+'8.Szivárvány'!M5+'7. Pitypang'!M5+'6.MosolyvárBölcs'!M5+'5. BBölcs'!M5+'4. PMH'!M5+'11. BEK'!M5</f>
        <v>0</v>
      </c>
      <c r="N5" s="918">
        <f>+'10. NGVK'!N5+'9. EFMK'!N5+'8.Szivárvány'!N5+'7. Pitypang'!N5+'6.MosolyvárBölcs'!N5+'5. BBölcs'!N5+'4. PMH'!N5+'11. BEK'!N5</f>
        <v>0</v>
      </c>
      <c r="O5" s="926">
        <f>+'10. NGVK'!O5+'9. EFMK'!O5+'8.Szivárvány'!O5+'7. Pitypang'!O5+'6.MosolyvárBölcs'!O5+'5. BBölcs'!O5+'4. PMH'!O5+'11. BEK'!O5</f>
        <v>0</v>
      </c>
    </row>
    <row r="6" spans="1:15" x14ac:dyDescent="0.25">
      <c r="A6" s="387" t="s">
        <v>12</v>
      </c>
      <c r="B6" s="348" t="s">
        <v>156</v>
      </c>
      <c r="C6" s="392">
        <f>+'10. NGVK'!C6+'9. EFMK'!C6+'8.Szivárvány'!C6+'7. Pitypang'!C6+'6.MosolyvárBölcs'!C6+'5. BBölcs'!C6+'4. PMH'!C6+'11. BEK'!C6</f>
        <v>235048000</v>
      </c>
      <c r="D6" s="918">
        <f>+'10. NGVK'!D6+'9. EFMK'!D6+'8.Szivárvány'!D6+'7. Pitypang'!D6+'6.MosolyvárBölcs'!D6+'5. BBölcs'!D6+'4. PMH'!D6+'11. BEK'!D6</f>
        <v>235048000</v>
      </c>
      <c r="E6" s="938">
        <f>+'10. NGVK'!E6+'9. EFMK'!E6+'8.Szivárvány'!E6+'7. Pitypang'!E6+'6.MosolyvárBölcs'!E6+'5. BBölcs'!E6+'4. PMH'!E6+'11. BEK'!E6</f>
        <v>235048000</v>
      </c>
      <c r="F6" s="392">
        <f>+'10. NGVK'!F6+'9. EFMK'!F6+'8.Szivárvány'!F6+'7. Pitypang'!F6+'6.MosolyvárBölcs'!F6+'5. BBölcs'!F6+'4. PMH'!F6+'11. BEK'!F6</f>
        <v>0</v>
      </c>
      <c r="G6" s="392">
        <f>+'10. NGVK'!G6+'9. EFMK'!G6+'8.Szivárvány'!G6+'7. Pitypang'!G6+'6.MosolyvárBölcs'!G6+'5. BBölcs'!G6+'4. PMH'!G6+'11. BEK'!G6</f>
        <v>0</v>
      </c>
      <c r="H6" s="918">
        <f>+'10. NGVK'!H6+'9. EFMK'!H6+'8.Szivárvány'!H6+'7. Pitypang'!H6+'6.MosolyvárBölcs'!H6+'5. BBölcs'!H6+'4. PMH'!H6+'11. BEK'!H6</f>
        <v>0</v>
      </c>
      <c r="I6" s="938">
        <f>+'10. NGVK'!I6+'9. EFMK'!I6+'8.Szivárvány'!I6+'7. Pitypang'!I6+'6.MosolyvárBölcs'!I6+'5. BBölcs'!I6+'4. PMH'!I6+'11. BEK'!I6</f>
        <v>0</v>
      </c>
      <c r="J6" s="392">
        <f>+'10. NGVK'!J6+'9. EFMK'!J6+'8.Szivárvány'!J6+'7. Pitypang'!J6+'6.MosolyvárBölcs'!J6+'5. BBölcs'!J6+'4. PMH'!J6+'11. BEK'!J6</f>
        <v>0</v>
      </c>
      <c r="K6" s="392">
        <f>+'10. NGVK'!K6+'9. EFMK'!K6+'8.Szivárvány'!K6+'7. Pitypang'!K6+'6.MosolyvárBölcs'!K6+'5. BBölcs'!K6+'4. PMH'!K6+'11. BEK'!K6</f>
        <v>0</v>
      </c>
      <c r="L6" s="926">
        <f>+'10. NGVK'!L6+'9. EFMK'!L6+'8.Szivárvány'!L6+'7. Pitypang'!L6+'6.MosolyvárBölcs'!L6+'5. BBölcs'!L6+'4. PMH'!L6+'11. BEK'!L6</f>
        <v>0</v>
      </c>
      <c r="M6" s="392">
        <f>+'10. NGVK'!M6+'9. EFMK'!M6+'8.Szivárvány'!M6+'7. Pitypang'!M6+'6.MosolyvárBölcs'!M6+'5. BBölcs'!M6+'4. PMH'!M6+'11. BEK'!M6</f>
        <v>235048000</v>
      </c>
      <c r="N6" s="918">
        <f>+'10. NGVK'!N6+'9. EFMK'!N6+'8.Szivárvány'!N6+'7. Pitypang'!N6+'6.MosolyvárBölcs'!N6+'5. BBölcs'!N6+'4. PMH'!N6+'11. BEK'!N6</f>
        <v>235048000</v>
      </c>
      <c r="O6" s="926">
        <f>+'10. NGVK'!O6+'9. EFMK'!O6+'8.Szivárvány'!O6+'7. Pitypang'!O6+'6.MosolyvárBölcs'!O6+'5. BBölcs'!O6+'4. PMH'!O6+'11. BEK'!O6</f>
        <v>235048000</v>
      </c>
    </row>
    <row r="7" spans="1:15" x14ac:dyDescent="0.25">
      <c r="A7" s="395" t="s">
        <v>49</v>
      </c>
      <c r="B7" s="349" t="s">
        <v>70</v>
      </c>
      <c r="C7" s="392">
        <f>+'10. NGVK'!C7+'9. EFMK'!C7+'8.Szivárvány'!C7+'7. Pitypang'!C7+'6.MosolyvárBölcs'!C7+'5. BBölcs'!C7+'4. PMH'!C7+'11. BEK'!C7</f>
        <v>0</v>
      </c>
      <c r="D7" s="918">
        <f>+'10. NGVK'!D7+'9. EFMK'!D7+'8.Szivárvány'!D7+'7. Pitypang'!D7+'6.MosolyvárBölcs'!D7+'5. BBölcs'!D7+'4. PMH'!D7+'11. BEK'!D7</f>
        <v>0</v>
      </c>
      <c r="E7" s="938">
        <f>+'10. NGVK'!E7+'9. EFMK'!E7+'8.Szivárvány'!E7+'7. Pitypang'!E7+'6.MosolyvárBölcs'!E7+'5. BBölcs'!E7+'4. PMH'!E7+'11. BEK'!E7</f>
        <v>0</v>
      </c>
      <c r="F7" s="392"/>
      <c r="G7" s="392">
        <f>+'10. NGVK'!G7+'9. EFMK'!G7+'8.Szivárvány'!G7+'7. Pitypang'!G7+'6.MosolyvárBölcs'!G7+'5. BBölcs'!G7+'4. PMH'!G7+'11. BEK'!G7</f>
        <v>0</v>
      </c>
      <c r="H7" s="918">
        <f>+'10. NGVK'!H7+'9. EFMK'!H7+'8.Szivárvány'!H7+'7. Pitypang'!H7+'6.MosolyvárBölcs'!H7+'5. BBölcs'!H7+'4. PMH'!H7+'11. BEK'!H7</f>
        <v>0</v>
      </c>
      <c r="I7" s="938">
        <f>+'10. NGVK'!I7+'9. EFMK'!I7+'8.Szivárvány'!I7+'7. Pitypang'!I7+'6.MosolyvárBölcs'!I7+'5. BBölcs'!I7+'4. PMH'!I7+'11. BEK'!I7</f>
        <v>0</v>
      </c>
      <c r="J7" s="392"/>
      <c r="K7" s="392">
        <f>+'10. NGVK'!K7+'9. EFMK'!K7+'8.Szivárvány'!K7+'7. Pitypang'!K7+'6.MosolyvárBölcs'!K7+'5. BBölcs'!K7+'4. PMH'!K7+'11. BEK'!K7</f>
        <v>0</v>
      </c>
      <c r="L7" s="926">
        <f>+'10. NGVK'!L7+'9. EFMK'!L7+'8.Szivárvány'!L7+'7. Pitypang'!L7+'6.MosolyvárBölcs'!L7+'5. BBölcs'!L7+'4. PMH'!L7+'11. BEK'!L7</f>
        <v>0</v>
      </c>
      <c r="M7" s="392">
        <f>+'10. NGVK'!M7+'9. EFMK'!M7+'8.Szivárvány'!M7+'7. Pitypang'!M7+'6.MosolyvárBölcs'!M7+'5. BBölcs'!M7+'4. PMH'!M7+'11. BEK'!M7</f>
        <v>0</v>
      </c>
      <c r="N7" s="918">
        <f>+'10. NGVK'!N7+'9. EFMK'!N7+'8.Szivárvány'!N7+'7. Pitypang'!N7+'6.MosolyvárBölcs'!N7+'5. BBölcs'!N7+'4. PMH'!N7+'11. BEK'!N7</f>
        <v>0</v>
      </c>
      <c r="O7" s="926"/>
    </row>
    <row r="8" spans="1:15" x14ac:dyDescent="0.25">
      <c r="A8" s="395" t="s">
        <v>71</v>
      </c>
      <c r="B8" s="349" t="s">
        <v>363</v>
      </c>
      <c r="C8" s="392">
        <f>+'10. NGVK'!C8+'9. EFMK'!C8+'8.Szivárvány'!C8+'7. Pitypang'!C8+'6.MosolyvárBölcs'!C8+'5. BBölcs'!C8+'4. PMH'!C8+'11. BEK'!C8</f>
        <v>235048000</v>
      </c>
      <c r="D8" s="918">
        <f>+'10. NGVK'!D8+'9. EFMK'!D8+'8.Szivárvány'!D8+'7. Pitypang'!D8+'6.MosolyvárBölcs'!D8+'5. BBölcs'!D8+'4. PMH'!D8+'11. BEK'!D8</f>
        <v>235048000</v>
      </c>
      <c r="E8" s="938">
        <f>+'10. NGVK'!E8+'9. EFMK'!E8+'8.Szivárvány'!E8+'7. Pitypang'!E8+'6.MosolyvárBölcs'!E8+'5. BBölcs'!E8+'4. PMH'!E8+'11. BEK'!E8</f>
        <v>235048000</v>
      </c>
      <c r="F8" s="392"/>
      <c r="G8" s="392">
        <f>+'10. NGVK'!G8+'9. EFMK'!G8+'8.Szivárvány'!G8+'7. Pitypang'!G8+'6.MosolyvárBölcs'!G8+'5. BBölcs'!G8+'4. PMH'!G8+'11. BEK'!G8</f>
        <v>0</v>
      </c>
      <c r="H8" s="918">
        <f>+'10. NGVK'!H8+'9. EFMK'!H8+'8.Szivárvány'!H8+'7. Pitypang'!H8+'6.MosolyvárBölcs'!H8+'5. BBölcs'!H8+'4. PMH'!H8+'11. BEK'!H8</f>
        <v>0</v>
      </c>
      <c r="I8" s="938">
        <f>+'10. NGVK'!I8+'9. EFMK'!I8+'8.Szivárvány'!I8+'7. Pitypang'!I8+'6.MosolyvárBölcs'!I8+'5. BBölcs'!I8+'4. PMH'!I8+'11. BEK'!I8</f>
        <v>0</v>
      </c>
      <c r="J8" s="392"/>
      <c r="K8" s="392">
        <f>+'10. NGVK'!K8+'9. EFMK'!K8+'8.Szivárvány'!K8+'7. Pitypang'!K8+'6.MosolyvárBölcs'!K8+'5. BBölcs'!K8+'4. PMH'!K8+'11. BEK'!K8</f>
        <v>0</v>
      </c>
      <c r="L8" s="926">
        <f>+'10. NGVK'!L8+'9. EFMK'!L8+'8.Szivárvány'!L8+'7. Pitypang'!L8+'6.MosolyvárBölcs'!L8+'5. BBölcs'!L8+'4. PMH'!L8+'11. BEK'!L8</f>
        <v>0</v>
      </c>
      <c r="M8" s="392">
        <f>+'10. NGVK'!M8+'9. EFMK'!M8+'8.Szivárvány'!M8+'7. Pitypang'!M8+'6.MosolyvárBölcs'!M8+'5. BBölcs'!M8+'4. PMH'!M8+'11. BEK'!M8</f>
        <v>235048000</v>
      </c>
      <c r="N8" s="918">
        <f>+'10. NGVK'!N8+'9. EFMK'!N8+'8.Szivárvány'!N8+'7. Pitypang'!N8+'6.MosolyvárBölcs'!N8+'5. BBölcs'!N8+'4. PMH'!N8+'11. BEK'!N8</f>
        <v>235048000</v>
      </c>
      <c r="O8" s="926"/>
    </row>
    <row r="9" spans="1:15" x14ac:dyDescent="0.25">
      <c r="A9" s="395" t="s">
        <v>72</v>
      </c>
      <c r="B9" s="349" t="s">
        <v>74</v>
      </c>
      <c r="C9" s="392">
        <f>+'10. NGVK'!C9+'9. EFMK'!C9+'8.Szivárvány'!C9+'7. Pitypang'!C9+'6.MosolyvárBölcs'!C9+'5. BBölcs'!C9+'4. PMH'!C9+'11. BEK'!C9</f>
        <v>0</v>
      </c>
      <c r="D9" s="918">
        <f>+'10. NGVK'!D9+'9. EFMK'!D9+'8.Szivárvány'!D9+'7. Pitypang'!D9+'6.MosolyvárBölcs'!D9+'5. BBölcs'!D9+'4. PMH'!D9+'11. BEK'!D9</f>
        <v>0</v>
      </c>
      <c r="E9" s="938">
        <f>+'10. NGVK'!E9+'9. EFMK'!E9+'8.Szivárvány'!E9+'7. Pitypang'!E9+'6.MosolyvárBölcs'!E9+'5. BBölcs'!E9+'4. PMH'!E9+'11. BEK'!E9</f>
        <v>0</v>
      </c>
      <c r="F9" s="392"/>
      <c r="G9" s="392">
        <f>+'10. NGVK'!G9+'9. EFMK'!G9+'8.Szivárvány'!G9+'7. Pitypang'!G9+'6.MosolyvárBölcs'!G9+'5. BBölcs'!G9+'4. PMH'!G9+'11. BEK'!G9</f>
        <v>0</v>
      </c>
      <c r="H9" s="918">
        <f>+'10. NGVK'!H9+'9. EFMK'!H9+'8.Szivárvány'!H9+'7. Pitypang'!H9+'6.MosolyvárBölcs'!H9+'5. BBölcs'!H9+'4. PMH'!H9+'11. BEK'!H9</f>
        <v>0</v>
      </c>
      <c r="I9" s="938">
        <f>+'10. NGVK'!I9+'9. EFMK'!I9+'8.Szivárvány'!I9+'7. Pitypang'!I9+'6.MosolyvárBölcs'!I9+'5. BBölcs'!I9+'4. PMH'!I9+'11. BEK'!I9</f>
        <v>0</v>
      </c>
      <c r="J9" s="392"/>
      <c r="K9" s="392">
        <f>+'10. NGVK'!K9+'9. EFMK'!K9+'8.Szivárvány'!K9+'7. Pitypang'!K9+'6.MosolyvárBölcs'!K9+'5. BBölcs'!K9+'4. PMH'!K9+'11. BEK'!K9</f>
        <v>0</v>
      </c>
      <c r="L9" s="926">
        <f>+'10. NGVK'!L9+'9. EFMK'!L9+'8.Szivárvány'!L9+'7. Pitypang'!L9+'6.MosolyvárBölcs'!L9+'5. BBölcs'!L9+'4. PMH'!L9+'11. BEK'!L9</f>
        <v>0</v>
      </c>
      <c r="M9" s="392">
        <f>+'10. NGVK'!M9+'9. EFMK'!M9+'8.Szivárvány'!M9+'7. Pitypang'!M9+'6.MosolyvárBölcs'!M9+'5. BBölcs'!M9+'4. PMH'!M9+'11. BEK'!M9</f>
        <v>0</v>
      </c>
      <c r="N9" s="918">
        <f>+'10. NGVK'!N9+'9. EFMK'!N9+'8.Szivárvány'!N9+'7. Pitypang'!N9+'6.MosolyvárBölcs'!N9+'5. BBölcs'!N9+'4. PMH'!N9+'11. BEK'!N9</f>
        <v>0</v>
      </c>
      <c r="O9" s="926"/>
    </row>
    <row r="10" spans="1:15" ht="22.5" x14ac:dyDescent="0.25">
      <c r="A10" s="395" t="s">
        <v>73</v>
      </c>
      <c r="B10" s="349" t="s">
        <v>284</v>
      </c>
      <c r="C10" s="392">
        <f>+'10. NGVK'!C10+'9. EFMK'!C10+'8.Szivárvány'!C10+'7. Pitypang'!C10+'6.MosolyvárBölcs'!C10+'5. BBölcs'!C10+'4. PMH'!C10+'11. BEK'!C10</f>
        <v>0</v>
      </c>
      <c r="D10" s="918">
        <f>+'10. NGVK'!D10+'9. EFMK'!D10+'8.Szivárvány'!D10+'7. Pitypang'!D10+'6.MosolyvárBölcs'!D10+'5. BBölcs'!D10+'4. PMH'!D10+'11. BEK'!D10</f>
        <v>0</v>
      </c>
      <c r="E10" s="938">
        <f>+'10. NGVK'!E10+'9. EFMK'!E10+'8.Szivárvány'!E10+'7. Pitypang'!E10+'6.MosolyvárBölcs'!E10+'5. BBölcs'!E10+'4. PMH'!E10+'11. BEK'!E10</f>
        <v>0</v>
      </c>
      <c r="F10" s="392"/>
      <c r="G10" s="392">
        <f>+'10. NGVK'!G10+'9. EFMK'!G10+'8.Szivárvány'!G10+'7. Pitypang'!G10+'6.MosolyvárBölcs'!G10+'5. BBölcs'!G10+'4. PMH'!G10+'11. BEK'!G10</f>
        <v>0</v>
      </c>
      <c r="H10" s="918">
        <f>+'10. NGVK'!H10+'9. EFMK'!H10+'8.Szivárvány'!H10+'7. Pitypang'!H10+'6.MosolyvárBölcs'!H10+'5. BBölcs'!H10+'4. PMH'!H10+'11. BEK'!H10</f>
        <v>0</v>
      </c>
      <c r="I10" s="938">
        <f>+'10. NGVK'!I10+'9. EFMK'!I10+'8.Szivárvány'!I10+'7. Pitypang'!I10+'6.MosolyvárBölcs'!I10+'5. BBölcs'!I10+'4. PMH'!I10+'11. BEK'!I10</f>
        <v>0</v>
      </c>
      <c r="J10" s="392"/>
      <c r="K10" s="392">
        <f>+'10. NGVK'!K10+'9. EFMK'!K10+'8.Szivárvány'!K10+'7. Pitypang'!K10+'6.MosolyvárBölcs'!K10+'5. BBölcs'!K10+'4. PMH'!K10+'11. BEK'!K10</f>
        <v>0</v>
      </c>
      <c r="L10" s="926">
        <f>+'10. NGVK'!L10+'9. EFMK'!L10+'8.Szivárvány'!L10+'7. Pitypang'!L10+'6.MosolyvárBölcs'!L10+'5. BBölcs'!L10+'4. PMH'!L10+'11. BEK'!L10</f>
        <v>0</v>
      </c>
      <c r="M10" s="392">
        <f>+'10. NGVK'!M10+'9. EFMK'!M10+'8.Szivárvány'!M10+'7. Pitypang'!M10+'6.MosolyvárBölcs'!M10+'5. BBölcs'!M10+'4. PMH'!M10+'11. BEK'!M10</f>
        <v>0</v>
      </c>
      <c r="N10" s="918">
        <f>+'10. NGVK'!N10+'9. EFMK'!N10+'8.Szivárvány'!N10+'7. Pitypang'!N10+'6.MosolyvárBölcs'!N10+'5. BBölcs'!N10+'4. PMH'!N10+'11. BEK'!N10</f>
        <v>0</v>
      </c>
      <c r="O10" s="926"/>
    </row>
    <row r="11" spans="1:15" x14ac:dyDescent="0.25">
      <c r="A11" s="387" t="s">
        <v>13</v>
      </c>
      <c r="B11" s="350" t="s">
        <v>138</v>
      </c>
      <c r="C11" s="392">
        <f>+'10. NGVK'!C11+'9. EFMK'!C11+'8.Szivárvány'!C11+'7. Pitypang'!C11+'6.MosolyvárBölcs'!C11+'5. BBölcs'!C11+'4. PMH'!C11+'11. BEK'!C11</f>
        <v>0</v>
      </c>
      <c r="D11" s="918">
        <f>+'10. NGVK'!D11+'9. EFMK'!D11+'8.Szivárvány'!D11+'7. Pitypang'!D11+'6.MosolyvárBölcs'!D11+'5. BBölcs'!D11+'4. PMH'!D11+'11. BEK'!D11</f>
        <v>0</v>
      </c>
      <c r="E11" s="938">
        <f>+'10. NGVK'!E11+'9. EFMK'!E11+'8.Szivárvány'!E11+'7. Pitypang'!E11+'6.MosolyvárBölcs'!E11+'5. BBölcs'!E11+'4. PMH'!E11+'11. BEK'!E11</f>
        <v>0</v>
      </c>
      <c r="F11" s="392">
        <f>+'10. NGVK'!F11+'9. EFMK'!F11+'8.Szivárvány'!F11+'7. Pitypang'!F11+'6.MosolyvárBölcs'!F11+'5. BBölcs'!F11+'4. PMH'!F11+'11. BEK'!F11</f>
        <v>0</v>
      </c>
      <c r="G11" s="392">
        <f>+'10. NGVK'!G11+'9. EFMK'!G11+'8.Szivárvány'!G11+'7. Pitypang'!G11+'6.MosolyvárBölcs'!G11+'5. BBölcs'!G11+'4. PMH'!G11+'11. BEK'!G11</f>
        <v>0</v>
      </c>
      <c r="H11" s="918">
        <f>+'10. NGVK'!H11+'9. EFMK'!H11+'8.Szivárvány'!H11+'7. Pitypang'!H11+'6.MosolyvárBölcs'!H11+'5. BBölcs'!H11+'4. PMH'!H11+'11. BEK'!H11</f>
        <v>0</v>
      </c>
      <c r="I11" s="938">
        <f>+'10. NGVK'!I11+'9. EFMK'!I11+'8.Szivárvány'!I11+'7. Pitypang'!I11+'6.MosolyvárBölcs'!I11+'5. BBölcs'!I11+'4. PMH'!I11+'11. BEK'!I11</f>
        <v>0</v>
      </c>
      <c r="J11" s="392">
        <f>+'10. NGVK'!J11+'9. EFMK'!J11+'8.Szivárvány'!J11+'7. Pitypang'!J11+'6.MosolyvárBölcs'!J11+'5. BBölcs'!J11+'4. PMH'!J11+'11. BEK'!J11</f>
        <v>0</v>
      </c>
      <c r="K11" s="392">
        <f>+'10. NGVK'!K11+'9. EFMK'!K11+'8.Szivárvány'!K11+'7. Pitypang'!K11+'6.MosolyvárBölcs'!K11+'5. BBölcs'!K11+'4. PMH'!K11+'11. BEK'!K11</f>
        <v>0</v>
      </c>
      <c r="L11" s="926">
        <f>+'10. NGVK'!L11+'9. EFMK'!L11+'8.Szivárvány'!L11+'7. Pitypang'!L11+'6.MosolyvárBölcs'!L11+'5. BBölcs'!L11+'4. PMH'!L11+'11. BEK'!L11</f>
        <v>0</v>
      </c>
      <c r="M11" s="392">
        <f>+'10. NGVK'!M11+'9. EFMK'!M11+'8.Szivárvány'!M11+'7. Pitypang'!M11+'6.MosolyvárBölcs'!M11+'5. BBölcs'!M11+'4. PMH'!M11+'11. BEK'!M11</f>
        <v>0</v>
      </c>
      <c r="N11" s="918">
        <f>+'10. NGVK'!N11+'9. EFMK'!N11+'8.Szivárvány'!N11+'7. Pitypang'!N11+'6.MosolyvárBölcs'!N11+'5. BBölcs'!N11+'4. PMH'!N11+'11. BEK'!N11</f>
        <v>0</v>
      </c>
      <c r="O11" s="926">
        <f>+'10. NGVK'!O11+'9. EFMK'!O11+'8.Szivárvány'!O11+'7. Pitypang'!O11+'6.MosolyvárBölcs'!O11+'5. BBölcs'!O11+'4. PMH'!O11+'11. BEK'!O11</f>
        <v>0</v>
      </c>
    </row>
    <row r="12" spans="1:15" x14ac:dyDescent="0.25">
      <c r="A12" s="387" t="s">
        <v>14</v>
      </c>
      <c r="B12" s="350" t="s">
        <v>75</v>
      </c>
      <c r="C12" s="392">
        <f>+'10. NGVK'!C12+'9. EFMK'!C12+'8.Szivárvány'!C12+'7. Pitypang'!C12+'6.MosolyvárBölcs'!C12+'5. BBölcs'!C12+'4. PMH'!C12+'11. BEK'!C12</f>
        <v>0</v>
      </c>
      <c r="D12" s="918">
        <f>+'10. NGVK'!D12+'9. EFMK'!D12+'8.Szivárvány'!D12+'7. Pitypang'!D12+'6.MosolyvárBölcs'!D12+'5. BBölcs'!D12+'4. PMH'!D12+'11. BEK'!D12</f>
        <v>0</v>
      </c>
      <c r="E12" s="938">
        <f>+'10. NGVK'!E12+'9. EFMK'!E12+'8.Szivárvány'!E12+'7. Pitypang'!E12+'6.MosolyvárBölcs'!E12+'5. BBölcs'!E12+'4. PMH'!E12+'11. BEK'!E12</f>
        <v>0</v>
      </c>
      <c r="F12" s="392">
        <f>+'10. NGVK'!F12+'9. EFMK'!F12+'8.Szivárvány'!F12+'7. Pitypang'!F12+'6.MosolyvárBölcs'!F12+'5. BBölcs'!F12+'4. PMH'!F12+'11. BEK'!F12</f>
        <v>0</v>
      </c>
      <c r="G12" s="392">
        <f>+'10. NGVK'!G12+'9. EFMK'!G12+'8.Szivárvány'!G12+'7. Pitypang'!G12+'6.MosolyvárBölcs'!G12+'5. BBölcs'!G12+'4. PMH'!G12+'11. BEK'!G12</f>
        <v>0</v>
      </c>
      <c r="H12" s="918">
        <f>+'10. NGVK'!H12+'9. EFMK'!H12+'8.Szivárvány'!H12+'7. Pitypang'!H12+'6.MosolyvárBölcs'!H12+'5. BBölcs'!H12+'4. PMH'!H12+'11. BEK'!H12</f>
        <v>0</v>
      </c>
      <c r="I12" s="938">
        <f>+'10. NGVK'!I12+'9. EFMK'!I12+'8.Szivárvány'!I12+'7. Pitypang'!I12+'6.MosolyvárBölcs'!I12+'5. BBölcs'!I12+'4. PMH'!I12+'11. BEK'!I12</f>
        <v>0</v>
      </c>
      <c r="J12" s="392">
        <f>+'10. NGVK'!J12+'9. EFMK'!J12+'8.Szivárvány'!J12+'7. Pitypang'!J12+'6.MosolyvárBölcs'!J12+'5. BBölcs'!J12+'4. PMH'!J12+'11. BEK'!J12</f>
        <v>0</v>
      </c>
      <c r="K12" s="392">
        <f>+'10. NGVK'!K12+'9. EFMK'!K12+'8.Szivárvány'!K12+'7. Pitypang'!K12+'6.MosolyvárBölcs'!K12+'5. BBölcs'!K12+'4. PMH'!K12+'11. BEK'!K12</f>
        <v>0</v>
      </c>
      <c r="L12" s="926">
        <f>+'10. NGVK'!L12+'9. EFMK'!L12+'8.Szivárvány'!L12+'7. Pitypang'!L12+'6.MosolyvárBölcs'!L12+'5. BBölcs'!L12+'4. PMH'!L12+'11. BEK'!L12</f>
        <v>0</v>
      </c>
      <c r="M12" s="392">
        <f>+'10. NGVK'!M12+'9. EFMK'!M12+'8.Szivárvány'!M12+'7. Pitypang'!M12+'6.MosolyvárBölcs'!M12+'5. BBölcs'!M12+'4. PMH'!M12+'11. BEK'!M12</f>
        <v>0</v>
      </c>
      <c r="N12" s="918">
        <f>+'10. NGVK'!N12+'9. EFMK'!N12+'8.Szivárvány'!N12+'7. Pitypang'!N12+'6.MosolyvárBölcs'!N12+'5. BBölcs'!N12+'4. PMH'!N12+'11. BEK'!N12</f>
        <v>0</v>
      </c>
      <c r="O12" s="926">
        <f>+'10. NGVK'!O12+'9. EFMK'!O12+'8.Szivárvány'!O12+'7. Pitypang'!O12+'6.MosolyvárBölcs'!O12+'5. BBölcs'!O12+'4. PMH'!O12+'11. BEK'!O12</f>
        <v>0</v>
      </c>
    </row>
    <row r="13" spans="1:15" x14ac:dyDescent="0.25">
      <c r="A13" s="395" t="s">
        <v>430</v>
      </c>
      <c r="B13" s="349" t="s">
        <v>418</v>
      </c>
      <c r="C13" s="392">
        <f>+'10. NGVK'!C13+'9. EFMK'!C13+'8.Szivárvány'!C13+'7. Pitypang'!C13+'6.MosolyvárBölcs'!C13+'5. BBölcs'!C13+'4. PMH'!C13+'11. BEK'!C13</f>
        <v>0</v>
      </c>
      <c r="D13" s="918">
        <f>+'10. NGVK'!D13+'9. EFMK'!D13+'8.Szivárvány'!D13+'7. Pitypang'!D13+'6.MosolyvárBölcs'!D13+'5. BBölcs'!D13+'4. PMH'!D13+'11. BEK'!D13</f>
        <v>0</v>
      </c>
      <c r="E13" s="938">
        <f>+'10. NGVK'!E13+'9. EFMK'!E13+'8.Szivárvány'!E13+'7. Pitypang'!E13+'6.MosolyvárBölcs'!E13+'5. BBölcs'!E13+'4. PMH'!E13+'11. BEK'!E13</f>
        <v>0</v>
      </c>
      <c r="F13" s="392"/>
      <c r="G13" s="392">
        <f>+'10. NGVK'!G13+'9. EFMK'!G13+'8.Szivárvány'!G13+'7. Pitypang'!G13+'6.MosolyvárBölcs'!G13+'5. BBölcs'!G13+'4. PMH'!G13+'11. BEK'!G13</f>
        <v>0</v>
      </c>
      <c r="H13" s="918">
        <f>+'10. NGVK'!H13+'9. EFMK'!H13+'8.Szivárvány'!H13+'7. Pitypang'!H13+'6.MosolyvárBölcs'!H13+'5. BBölcs'!H13+'4. PMH'!H13+'11. BEK'!H13</f>
        <v>0</v>
      </c>
      <c r="I13" s="938">
        <f>+'10. NGVK'!I13+'9. EFMK'!I13+'8.Szivárvány'!I13+'7. Pitypang'!I13+'6.MosolyvárBölcs'!I13+'5. BBölcs'!I13+'4. PMH'!I13+'11. BEK'!I13</f>
        <v>0</v>
      </c>
      <c r="J13" s="392"/>
      <c r="K13" s="392">
        <f>+'10. NGVK'!K13+'9. EFMK'!K13+'8.Szivárvány'!K13+'7. Pitypang'!K13+'6.MosolyvárBölcs'!K13+'5. BBölcs'!K13+'4. PMH'!K13+'11. BEK'!K13</f>
        <v>0</v>
      </c>
      <c r="L13" s="926">
        <f>+'10. NGVK'!L13+'9. EFMK'!L13+'8.Szivárvány'!L13+'7. Pitypang'!L13+'6.MosolyvárBölcs'!L13+'5. BBölcs'!L13+'4. PMH'!L13+'11. BEK'!L13</f>
        <v>0</v>
      </c>
      <c r="M13" s="392">
        <f>+'10. NGVK'!M13+'9. EFMK'!M13+'8.Szivárvány'!M13+'7. Pitypang'!M13+'6.MosolyvárBölcs'!M13+'5. BBölcs'!M13+'4. PMH'!M13+'11. BEK'!M13</f>
        <v>0</v>
      </c>
      <c r="N13" s="918">
        <f>+'10. NGVK'!N13+'9. EFMK'!N13+'8.Szivárvány'!N13+'7. Pitypang'!N13+'6.MosolyvárBölcs'!N13+'5. BBölcs'!N13+'4. PMH'!N13+'11. BEK'!N13</f>
        <v>0</v>
      </c>
      <c r="O13" s="926"/>
    </row>
    <row r="14" spans="1:15" x14ac:dyDescent="0.25">
      <c r="A14" s="395" t="s">
        <v>431</v>
      </c>
      <c r="B14" s="349" t="s">
        <v>419</v>
      </c>
      <c r="C14" s="392">
        <f>+'10. NGVK'!C14+'9. EFMK'!C14+'8.Szivárvány'!C14+'7. Pitypang'!C14+'6.MosolyvárBölcs'!C14+'5. BBölcs'!C14+'4. PMH'!C14+'11. BEK'!C14</f>
        <v>0</v>
      </c>
      <c r="D14" s="918">
        <f>+'10. NGVK'!D14+'9. EFMK'!D14+'8.Szivárvány'!D14+'7. Pitypang'!D14+'6.MosolyvárBölcs'!D14+'5. BBölcs'!D14+'4. PMH'!D14+'11. BEK'!D14</f>
        <v>0</v>
      </c>
      <c r="E14" s="938">
        <f>+'10. NGVK'!E14+'9. EFMK'!E14+'8.Szivárvány'!E14+'7. Pitypang'!E14+'6.MosolyvárBölcs'!E14+'5. BBölcs'!E14+'4. PMH'!E14+'11. BEK'!E14</f>
        <v>0</v>
      </c>
      <c r="F14" s="392"/>
      <c r="G14" s="392">
        <f>+'10. NGVK'!G14+'9. EFMK'!G14+'8.Szivárvány'!G14+'7. Pitypang'!G14+'6.MosolyvárBölcs'!G14+'5. BBölcs'!G14+'4. PMH'!G14+'11. BEK'!G14</f>
        <v>0</v>
      </c>
      <c r="H14" s="918">
        <f>+'10. NGVK'!H14+'9. EFMK'!H14+'8.Szivárvány'!H14+'7. Pitypang'!H14+'6.MosolyvárBölcs'!H14+'5. BBölcs'!H14+'4. PMH'!H14+'11. BEK'!H14</f>
        <v>0</v>
      </c>
      <c r="I14" s="938">
        <f>+'10. NGVK'!I14+'9. EFMK'!I14+'8.Szivárvány'!I14+'7. Pitypang'!I14+'6.MosolyvárBölcs'!I14+'5. BBölcs'!I14+'4. PMH'!I14+'11. BEK'!I14</f>
        <v>0</v>
      </c>
      <c r="J14" s="392"/>
      <c r="K14" s="392">
        <f>+'10. NGVK'!K14+'9. EFMK'!K14+'8.Szivárvány'!K14+'7. Pitypang'!K14+'6.MosolyvárBölcs'!K14+'5. BBölcs'!K14+'4. PMH'!K14+'11. BEK'!K14</f>
        <v>0</v>
      </c>
      <c r="L14" s="926">
        <f>+'10. NGVK'!L14+'9. EFMK'!L14+'8.Szivárvány'!L14+'7. Pitypang'!L14+'6.MosolyvárBölcs'!L14+'5. BBölcs'!L14+'4. PMH'!L14+'11. BEK'!L14</f>
        <v>0</v>
      </c>
      <c r="M14" s="392">
        <f>+'10. NGVK'!M14+'9. EFMK'!M14+'8.Szivárvány'!M14+'7. Pitypang'!M14+'6.MosolyvárBölcs'!M14+'5. BBölcs'!M14+'4. PMH'!M14+'11. BEK'!M14</f>
        <v>0</v>
      </c>
      <c r="N14" s="918">
        <f>+'10. NGVK'!N14+'9. EFMK'!N14+'8.Szivárvány'!N14+'7. Pitypang'!N14+'6.MosolyvárBölcs'!N14+'5. BBölcs'!N14+'4. PMH'!N14+'11. BEK'!N14</f>
        <v>0</v>
      </c>
      <c r="O14" s="926"/>
    </row>
    <row r="15" spans="1:15" x14ac:dyDescent="0.25">
      <c r="A15" s="395" t="s">
        <v>432</v>
      </c>
      <c r="B15" s="349" t="s">
        <v>417</v>
      </c>
      <c r="C15" s="392">
        <f>+'10. NGVK'!C15+'9. EFMK'!C15+'8.Szivárvány'!C15+'7. Pitypang'!C15+'6.MosolyvárBölcs'!C15+'5. BBölcs'!C15+'4. PMH'!C15+'11. BEK'!C15</f>
        <v>0</v>
      </c>
      <c r="D15" s="918">
        <f>+'10. NGVK'!D15+'9. EFMK'!D15+'8.Szivárvány'!D15+'7. Pitypang'!D15+'6.MosolyvárBölcs'!D15+'5. BBölcs'!D15+'4. PMH'!D15+'11. BEK'!D15</f>
        <v>0</v>
      </c>
      <c r="E15" s="938">
        <f>+'10. NGVK'!E15+'9. EFMK'!E15+'8.Szivárvány'!E15+'7. Pitypang'!E15+'6.MosolyvárBölcs'!E15+'5. BBölcs'!E15+'4. PMH'!E15+'11. BEK'!E15</f>
        <v>0</v>
      </c>
      <c r="F15" s="392"/>
      <c r="G15" s="392">
        <f>+'10. NGVK'!G15+'9. EFMK'!G15+'8.Szivárvány'!G15+'7. Pitypang'!G15+'6.MosolyvárBölcs'!G15+'5. BBölcs'!G15+'4. PMH'!G15+'11. BEK'!G15</f>
        <v>0</v>
      </c>
      <c r="H15" s="918">
        <f>+'10. NGVK'!H15+'9. EFMK'!H15+'8.Szivárvány'!H15+'7. Pitypang'!H15+'6.MosolyvárBölcs'!H15+'5. BBölcs'!H15+'4. PMH'!H15+'11. BEK'!H15</f>
        <v>0</v>
      </c>
      <c r="I15" s="938">
        <f>+'10. NGVK'!I15+'9. EFMK'!I15+'8.Szivárvány'!I15+'7. Pitypang'!I15+'6.MosolyvárBölcs'!I15+'5. BBölcs'!I15+'4. PMH'!I15+'11. BEK'!I15</f>
        <v>0</v>
      </c>
      <c r="J15" s="392"/>
      <c r="K15" s="392">
        <f>+'10. NGVK'!K15+'9. EFMK'!K15+'8.Szivárvány'!K15+'7. Pitypang'!K15+'6.MosolyvárBölcs'!K15+'5. BBölcs'!K15+'4. PMH'!K15+'11. BEK'!K15</f>
        <v>0</v>
      </c>
      <c r="L15" s="926">
        <f>+'10. NGVK'!L15+'9. EFMK'!L15+'8.Szivárvány'!L15+'7. Pitypang'!L15+'6.MosolyvárBölcs'!L15+'5. BBölcs'!L15+'4. PMH'!L15+'11. BEK'!L15</f>
        <v>0</v>
      </c>
      <c r="M15" s="392">
        <f>+'10. NGVK'!M15+'9. EFMK'!M15+'8.Szivárvány'!M15+'7. Pitypang'!M15+'6.MosolyvárBölcs'!M15+'5. BBölcs'!M15+'4. PMH'!M15+'11. BEK'!M15</f>
        <v>0</v>
      </c>
      <c r="N15" s="918">
        <f>+'10. NGVK'!N15+'9. EFMK'!N15+'8.Szivárvány'!N15+'7. Pitypang'!N15+'6.MosolyvárBölcs'!N15+'5. BBölcs'!N15+'4. PMH'!N15+'11. BEK'!N15</f>
        <v>0</v>
      </c>
      <c r="O15" s="926"/>
    </row>
    <row r="16" spans="1:15" x14ac:dyDescent="0.25">
      <c r="A16" s="395" t="s">
        <v>433</v>
      </c>
      <c r="B16" s="349" t="s">
        <v>427</v>
      </c>
      <c r="C16" s="392">
        <f>+'10. NGVK'!C16+'9. EFMK'!C16+'8.Szivárvány'!C16+'7. Pitypang'!C16+'6.MosolyvárBölcs'!C16+'5. BBölcs'!C16+'4. PMH'!C16+'11. BEK'!C16</f>
        <v>0</v>
      </c>
      <c r="D16" s="918">
        <f>+'10. NGVK'!D16+'9. EFMK'!D16+'8.Szivárvány'!D16+'7. Pitypang'!D16+'6.MosolyvárBölcs'!D16+'5. BBölcs'!D16+'4. PMH'!D16+'11. BEK'!D16</f>
        <v>0</v>
      </c>
      <c r="E16" s="938">
        <f>+'10. NGVK'!E16+'9. EFMK'!E16+'8.Szivárvány'!E16+'7. Pitypang'!E16+'6.MosolyvárBölcs'!E16+'5. BBölcs'!E16+'4. PMH'!E16+'11. BEK'!E16</f>
        <v>0</v>
      </c>
      <c r="F16" s="392"/>
      <c r="G16" s="392">
        <f>+'10. NGVK'!G16+'9. EFMK'!G16+'8.Szivárvány'!G16+'7. Pitypang'!G16+'6.MosolyvárBölcs'!G16+'5. BBölcs'!G16+'4. PMH'!G16+'11. BEK'!G16</f>
        <v>0</v>
      </c>
      <c r="H16" s="918">
        <f>+'10. NGVK'!H16+'9. EFMK'!H16+'8.Szivárvány'!H16+'7. Pitypang'!H16+'6.MosolyvárBölcs'!H16+'5. BBölcs'!H16+'4. PMH'!H16+'11. BEK'!H16</f>
        <v>0</v>
      </c>
      <c r="I16" s="938">
        <f>+'10. NGVK'!I16+'9. EFMK'!I16+'8.Szivárvány'!I16+'7. Pitypang'!I16+'6.MosolyvárBölcs'!I16+'5. BBölcs'!I16+'4. PMH'!I16+'11. BEK'!I16</f>
        <v>0</v>
      </c>
      <c r="J16" s="392"/>
      <c r="K16" s="392">
        <f>+'10. NGVK'!K16+'9. EFMK'!K16+'8.Szivárvány'!K16+'7. Pitypang'!K16+'6.MosolyvárBölcs'!K16+'5. BBölcs'!K16+'4. PMH'!K16+'11. BEK'!K16</f>
        <v>0</v>
      </c>
      <c r="L16" s="926">
        <f>+'10. NGVK'!L16+'9. EFMK'!L16+'8.Szivárvány'!L16+'7. Pitypang'!L16+'6.MosolyvárBölcs'!L16+'5. BBölcs'!L16+'4. PMH'!L16+'11. BEK'!L16</f>
        <v>0</v>
      </c>
      <c r="M16" s="392">
        <f>+'10. NGVK'!M16+'9. EFMK'!M16+'8.Szivárvány'!M16+'7. Pitypang'!M16+'6.MosolyvárBölcs'!M16+'5. BBölcs'!M16+'4. PMH'!M16+'11. BEK'!M16</f>
        <v>0</v>
      </c>
      <c r="N16" s="918">
        <f>+'10. NGVK'!N16+'9. EFMK'!N16+'8.Szivárvány'!N16+'7. Pitypang'!N16+'6.MosolyvárBölcs'!N16+'5. BBölcs'!N16+'4. PMH'!N16+'11. BEK'!N16</f>
        <v>0</v>
      </c>
      <c r="O16" s="926"/>
    </row>
    <row r="17" spans="1:15" x14ac:dyDescent="0.25">
      <c r="A17" s="395" t="s">
        <v>434</v>
      </c>
      <c r="B17" s="349" t="s">
        <v>426</v>
      </c>
      <c r="C17" s="392">
        <f>+'10. NGVK'!C17+'9. EFMK'!C17+'8.Szivárvány'!C17+'7. Pitypang'!C17+'6.MosolyvárBölcs'!C17+'5. BBölcs'!C17+'4. PMH'!C17+'11. BEK'!C17</f>
        <v>0</v>
      </c>
      <c r="D17" s="918">
        <f>+'10. NGVK'!D17+'9. EFMK'!D17+'8.Szivárvány'!D17+'7. Pitypang'!D17+'6.MosolyvárBölcs'!D17+'5. BBölcs'!D17+'4. PMH'!D17+'11. BEK'!D17</f>
        <v>0</v>
      </c>
      <c r="E17" s="938">
        <f>+'10. NGVK'!E17+'9. EFMK'!E17+'8.Szivárvány'!E17+'7. Pitypang'!E17+'6.MosolyvárBölcs'!E17+'5. BBölcs'!E17+'4. PMH'!E17+'11. BEK'!E17</f>
        <v>0</v>
      </c>
      <c r="F17" s="392"/>
      <c r="G17" s="392">
        <f>+'10. NGVK'!G17+'9. EFMK'!G17+'8.Szivárvány'!G17+'7. Pitypang'!G17+'6.MosolyvárBölcs'!G17+'5. BBölcs'!G17+'4. PMH'!G17+'11. BEK'!G17</f>
        <v>0</v>
      </c>
      <c r="H17" s="918">
        <f>+'10. NGVK'!H17+'9. EFMK'!H17+'8.Szivárvány'!H17+'7. Pitypang'!H17+'6.MosolyvárBölcs'!H17+'5. BBölcs'!H17+'4. PMH'!H17+'11. BEK'!H17</f>
        <v>0</v>
      </c>
      <c r="I17" s="938">
        <f>+'10. NGVK'!I17+'9. EFMK'!I17+'8.Szivárvány'!I17+'7. Pitypang'!I17+'6.MosolyvárBölcs'!I17+'5. BBölcs'!I17+'4. PMH'!I17+'11. BEK'!I17</f>
        <v>0</v>
      </c>
      <c r="J17" s="392"/>
      <c r="K17" s="392">
        <f>+'10. NGVK'!K17+'9. EFMK'!K17+'8.Szivárvány'!K17+'7. Pitypang'!K17+'6.MosolyvárBölcs'!K17+'5. BBölcs'!K17+'4. PMH'!K17+'11. BEK'!K17</f>
        <v>0</v>
      </c>
      <c r="L17" s="926">
        <f>+'10. NGVK'!L17+'9. EFMK'!L17+'8.Szivárvány'!L17+'7. Pitypang'!L17+'6.MosolyvárBölcs'!L17+'5. BBölcs'!L17+'4. PMH'!L17+'11. BEK'!L17</f>
        <v>0</v>
      </c>
      <c r="M17" s="392">
        <f>+'10. NGVK'!M17+'9. EFMK'!M17+'8.Szivárvány'!M17+'7. Pitypang'!M17+'6.MosolyvárBölcs'!M17+'5. BBölcs'!M17+'4. PMH'!M17+'11. BEK'!M17</f>
        <v>0</v>
      </c>
      <c r="N17" s="918">
        <f>+'10. NGVK'!N17+'9. EFMK'!N17+'8.Szivárvány'!N17+'7. Pitypang'!N17+'6.MosolyvárBölcs'!N17+'5. BBölcs'!N17+'4. PMH'!N17+'11. BEK'!N17</f>
        <v>0</v>
      </c>
      <c r="O17" s="926"/>
    </row>
    <row r="18" spans="1:15" x14ac:dyDescent="0.25">
      <c r="A18" s="395" t="s">
        <v>435</v>
      </c>
      <c r="B18" s="349" t="s">
        <v>428</v>
      </c>
      <c r="C18" s="392">
        <f>+'10. NGVK'!C18+'9. EFMK'!C18+'8.Szivárvány'!C18+'7. Pitypang'!C18+'6.MosolyvárBölcs'!C18+'5. BBölcs'!C18+'4. PMH'!C18+'11. BEK'!C18</f>
        <v>0</v>
      </c>
      <c r="D18" s="918">
        <f>+'10. NGVK'!D18+'9. EFMK'!D18+'8.Szivárvány'!D18+'7. Pitypang'!D18+'6.MosolyvárBölcs'!D18+'5. BBölcs'!D18+'4. PMH'!D18+'11. BEK'!D18</f>
        <v>0</v>
      </c>
      <c r="E18" s="938">
        <f>+'10. NGVK'!E18+'9. EFMK'!E18+'8.Szivárvány'!E18+'7. Pitypang'!E18+'6.MosolyvárBölcs'!E18+'5. BBölcs'!E18+'4. PMH'!E18+'11. BEK'!E18</f>
        <v>0</v>
      </c>
      <c r="F18" s="392"/>
      <c r="G18" s="392">
        <f>+'10. NGVK'!G18+'9. EFMK'!G18+'8.Szivárvány'!G18+'7. Pitypang'!G18+'6.MosolyvárBölcs'!G18+'5. BBölcs'!G18+'4. PMH'!G18+'11. BEK'!G18</f>
        <v>0</v>
      </c>
      <c r="H18" s="918">
        <f>+'10. NGVK'!H18+'9. EFMK'!H18+'8.Szivárvány'!H18+'7. Pitypang'!H18+'6.MosolyvárBölcs'!H18+'5. BBölcs'!H18+'4. PMH'!H18+'11. BEK'!H18</f>
        <v>0</v>
      </c>
      <c r="I18" s="938">
        <f>+'10. NGVK'!I18+'9. EFMK'!I18+'8.Szivárvány'!I18+'7. Pitypang'!I18+'6.MosolyvárBölcs'!I18+'5. BBölcs'!I18+'4. PMH'!I18+'11. BEK'!I18</f>
        <v>0</v>
      </c>
      <c r="J18" s="392"/>
      <c r="K18" s="392">
        <f>+'10. NGVK'!K18+'9. EFMK'!K18+'8.Szivárvány'!K18+'7. Pitypang'!K18+'6.MosolyvárBölcs'!K18+'5. BBölcs'!K18+'4. PMH'!K18+'11. BEK'!K18</f>
        <v>0</v>
      </c>
      <c r="L18" s="926">
        <f>+'10. NGVK'!L18+'9. EFMK'!L18+'8.Szivárvány'!L18+'7. Pitypang'!L18+'6.MosolyvárBölcs'!L18+'5. BBölcs'!L18+'4. PMH'!L18+'11. BEK'!L18</f>
        <v>0</v>
      </c>
      <c r="M18" s="392">
        <f>+'10. NGVK'!M18+'9. EFMK'!M18+'8.Szivárvány'!M18+'7. Pitypang'!M18+'6.MosolyvárBölcs'!M18+'5. BBölcs'!M18+'4. PMH'!M18+'11. BEK'!M18</f>
        <v>0</v>
      </c>
      <c r="N18" s="918">
        <f>+'10. NGVK'!N18+'9. EFMK'!N18+'8.Szivárvány'!N18+'7. Pitypang'!N18+'6.MosolyvárBölcs'!N18+'5. BBölcs'!N18+'4. PMH'!N18+'11. BEK'!N18</f>
        <v>0</v>
      </c>
      <c r="O18" s="926"/>
    </row>
    <row r="19" spans="1:15" x14ac:dyDescent="0.25">
      <c r="A19" s="387" t="s">
        <v>15</v>
      </c>
      <c r="B19" s="350" t="s">
        <v>76</v>
      </c>
      <c r="C19" s="392">
        <f>+'10. NGVK'!C19+'9. EFMK'!C19+'8.Szivárvány'!C19+'7. Pitypang'!C19+'6.MosolyvárBölcs'!C19+'5. BBölcs'!C19+'4. PMH'!C19+'11. BEK'!C19</f>
        <v>46725000</v>
      </c>
      <c r="D19" s="918">
        <f>+'10. NGVK'!D19+'9. EFMK'!D19+'8.Szivárvány'!D19+'7. Pitypang'!D19+'6.MosolyvárBölcs'!D19+'5. BBölcs'!D19+'4. PMH'!D19+'11. BEK'!D19</f>
        <v>48725000</v>
      </c>
      <c r="E19" s="938">
        <f>+'10. NGVK'!E19+'9. EFMK'!E19+'8.Szivárvány'!E19+'7. Pitypang'!E19+'6.MosolyvárBölcs'!E19+'5. BBölcs'!E19+'4. PMH'!E19+'11. BEK'!E19</f>
        <v>48725000</v>
      </c>
      <c r="F19" s="392">
        <f>+'10. NGVK'!F19+'9. EFMK'!F19+'8.Szivárvány'!F19+'7. Pitypang'!F19+'6.MosolyvárBölcs'!F19+'5. BBölcs'!F19+'4. PMH'!F19+'11. BEK'!F19</f>
        <v>0</v>
      </c>
      <c r="G19" s="392">
        <f>+'10. NGVK'!G19+'9. EFMK'!G19+'8.Szivárvány'!G19+'7. Pitypang'!G19+'6.MosolyvárBölcs'!G19+'5. BBölcs'!G19+'4. PMH'!G19+'11. BEK'!G19</f>
        <v>0</v>
      </c>
      <c r="H19" s="918">
        <f>+'10. NGVK'!H19+'9. EFMK'!H19+'8.Szivárvány'!H19+'7. Pitypang'!H19+'6.MosolyvárBölcs'!H19+'5. BBölcs'!H19+'4. PMH'!H19+'11. BEK'!H19</f>
        <v>0</v>
      </c>
      <c r="I19" s="938">
        <f>+'10. NGVK'!I19+'9. EFMK'!I19+'8.Szivárvány'!I19+'7. Pitypang'!I19+'6.MosolyvárBölcs'!I19+'5. BBölcs'!I19+'4. PMH'!I19+'11. BEK'!I19</f>
        <v>0</v>
      </c>
      <c r="J19" s="392">
        <f>+'10. NGVK'!J19+'9. EFMK'!J19+'8.Szivárvány'!J19+'7. Pitypang'!J19+'6.MosolyvárBölcs'!J19+'5. BBölcs'!J19+'4. PMH'!J19+'11. BEK'!J19</f>
        <v>0</v>
      </c>
      <c r="K19" s="392">
        <f>+'10. NGVK'!K19+'9. EFMK'!K19+'8.Szivárvány'!K19+'7. Pitypang'!K19+'6.MosolyvárBölcs'!K19+'5. BBölcs'!K19+'4. PMH'!K19+'11. BEK'!K19</f>
        <v>0</v>
      </c>
      <c r="L19" s="926">
        <f>+'10. NGVK'!L19+'9. EFMK'!L19+'8.Szivárvány'!L19+'7. Pitypang'!L19+'6.MosolyvárBölcs'!L19+'5. BBölcs'!L19+'4. PMH'!L19+'11. BEK'!L19</f>
        <v>0</v>
      </c>
      <c r="M19" s="392">
        <f>+'10. NGVK'!M19+'9. EFMK'!M19+'8.Szivárvány'!M19+'7. Pitypang'!M19+'6.MosolyvárBölcs'!M19+'5. BBölcs'!M19+'4. PMH'!M19+'11. BEK'!M19</f>
        <v>46725000</v>
      </c>
      <c r="N19" s="918">
        <f>+'10. NGVK'!N19+'9. EFMK'!N19+'8.Szivárvány'!N19+'7. Pitypang'!N19+'6.MosolyvárBölcs'!N19+'5. BBölcs'!N19+'4. PMH'!N19+'11. BEK'!N19</f>
        <v>48725000</v>
      </c>
      <c r="O19" s="926">
        <f>+'10. NGVK'!O19+'9. EFMK'!O19+'8.Szivárvány'!O19+'7. Pitypang'!O19+'6.MosolyvárBölcs'!O19+'5. BBölcs'!O19+'4. PMH'!O19+'11. BEK'!O19</f>
        <v>48725000</v>
      </c>
    </row>
    <row r="20" spans="1:15" x14ac:dyDescent="0.25">
      <c r="A20" s="387" t="s">
        <v>16</v>
      </c>
      <c r="B20" s="350" t="s">
        <v>77</v>
      </c>
      <c r="C20" s="392">
        <f>+'10. NGVK'!C20+'9. EFMK'!C20+'8.Szivárvány'!C20+'7. Pitypang'!C20+'6.MosolyvárBölcs'!C20+'5. BBölcs'!C20+'4. PMH'!C20+'11. BEK'!C20</f>
        <v>0</v>
      </c>
      <c r="D20" s="918">
        <f>+'10. NGVK'!D20+'9. EFMK'!D20+'8.Szivárvány'!D20+'7. Pitypang'!D20+'6.MosolyvárBölcs'!D20+'5. BBölcs'!D20+'4. PMH'!D20+'11. BEK'!D20</f>
        <v>0</v>
      </c>
      <c r="E20" s="938">
        <f>+'10. NGVK'!E20+'9. EFMK'!E20+'8.Szivárvány'!E20+'7. Pitypang'!E20+'6.MosolyvárBölcs'!E20+'5. BBölcs'!E20+'4. PMH'!E20+'11. BEK'!E20</f>
        <v>0</v>
      </c>
      <c r="F20" s="392">
        <f>+'10. NGVK'!F20+'9. EFMK'!F20+'8.Szivárvány'!F20+'7. Pitypang'!F20+'6.MosolyvárBölcs'!F20+'5. BBölcs'!F20+'4. PMH'!F20+'11. BEK'!F20</f>
        <v>0</v>
      </c>
      <c r="G20" s="392">
        <f>+'10. NGVK'!G20+'9. EFMK'!G20+'8.Szivárvány'!G20+'7. Pitypang'!G20+'6.MosolyvárBölcs'!G20+'5. BBölcs'!G20+'4. PMH'!G20+'11. BEK'!G20</f>
        <v>0</v>
      </c>
      <c r="H20" s="918">
        <f>+'10. NGVK'!H20+'9. EFMK'!H20+'8.Szivárvány'!H20+'7. Pitypang'!H20+'6.MosolyvárBölcs'!H20+'5. BBölcs'!H20+'4. PMH'!H20+'11. BEK'!H20</f>
        <v>0</v>
      </c>
      <c r="I20" s="938">
        <f>+'10. NGVK'!I20+'9. EFMK'!I20+'8.Szivárvány'!I20+'7. Pitypang'!I20+'6.MosolyvárBölcs'!I20+'5. BBölcs'!I20+'4. PMH'!I20+'11. BEK'!I20</f>
        <v>0</v>
      </c>
      <c r="J20" s="392">
        <f>+'10. NGVK'!J20+'9. EFMK'!J20+'8.Szivárvány'!J20+'7. Pitypang'!J20+'6.MosolyvárBölcs'!J20+'5. BBölcs'!J20+'4. PMH'!J20+'11. BEK'!J20</f>
        <v>0</v>
      </c>
      <c r="K20" s="392">
        <f>+'10. NGVK'!K20+'9. EFMK'!K20+'8.Szivárvány'!K20+'7. Pitypang'!K20+'6.MosolyvárBölcs'!K20+'5. BBölcs'!K20+'4. PMH'!K20+'11. BEK'!K20</f>
        <v>0</v>
      </c>
      <c r="L20" s="926">
        <f>+'10. NGVK'!L20+'9. EFMK'!L20+'8.Szivárvány'!L20+'7. Pitypang'!L20+'6.MosolyvárBölcs'!L20+'5. BBölcs'!L20+'4. PMH'!L20+'11. BEK'!L20</f>
        <v>0</v>
      </c>
      <c r="M20" s="392">
        <f>+'10. NGVK'!M20+'9. EFMK'!M20+'8.Szivárvány'!M20+'7. Pitypang'!M20+'6.MosolyvárBölcs'!M20+'5. BBölcs'!M20+'4. PMH'!M20+'11. BEK'!M20</f>
        <v>0</v>
      </c>
      <c r="N20" s="918">
        <f>+'10. NGVK'!N20+'9. EFMK'!N20+'8.Szivárvány'!N20+'7. Pitypang'!N20+'6.MosolyvárBölcs'!N20+'5. BBölcs'!N20+'4. PMH'!N20+'11. BEK'!N20</f>
        <v>0</v>
      </c>
      <c r="O20" s="926">
        <f>+'10. NGVK'!O20+'9. EFMK'!O20+'8.Szivárvány'!O20+'7. Pitypang'!O20+'6.MosolyvárBölcs'!O20+'5. BBölcs'!O20+'4. PMH'!O20+'11. BEK'!O20</f>
        <v>0</v>
      </c>
    </row>
    <row r="21" spans="1:15" x14ac:dyDescent="0.25">
      <c r="A21" s="387" t="s">
        <v>17</v>
      </c>
      <c r="B21" s="350" t="s">
        <v>78</v>
      </c>
      <c r="C21" s="392">
        <f>+'10. NGVK'!C21+'9. EFMK'!C21+'8.Szivárvány'!C21+'7. Pitypang'!C21+'6.MosolyvárBölcs'!C21+'5. BBölcs'!C21+'4. PMH'!C21+'11. BEK'!C21</f>
        <v>0</v>
      </c>
      <c r="D21" s="918">
        <f>+'10. NGVK'!D21+'9. EFMK'!D21+'8.Szivárvány'!D21+'7. Pitypang'!D21+'6.MosolyvárBölcs'!D21+'5. BBölcs'!D21+'4. PMH'!D21+'11. BEK'!D21</f>
        <v>0</v>
      </c>
      <c r="E21" s="938">
        <f>+'10. NGVK'!E21+'9. EFMK'!E21+'8.Szivárvány'!E21+'7. Pitypang'!E21+'6.MosolyvárBölcs'!E21+'5. BBölcs'!E21+'4. PMH'!E21+'11. BEK'!E21</f>
        <v>0</v>
      </c>
      <c r="F21" s="392">
        <f>+'10. NGVK'!F21+'9. EFMK'!F21+'8.Szivárvány'!F21+'7. Pitypang'!F21+'6.MosolyvárBölcs'!F21+'5. BBölcs'!F21+'4. PMH'!F21+'11. BEK'!F21</f>
        <v>0</v>
      </c>
      <c r="G21" s="392">
        <f>+'10. NGVK'!G21+'9. EFMK'!G21+'8.Szivárvány'!G21+'7. Pitypang'!G21+'6.MosolyvárBölcs'!G21+'5. BBölcs'!G21+'4. PMH'!G21+'11. BEK'!G21</f>
        <v>0</v>
      </c>
      <c r="H21" s="918">
        <f>+'10. NGVK'!H21+'9. EFMK'!H21+'8.Szivárvány'!H21+'7. Pitypang'!H21+'6.MosolyvárBölcs'!H21+'5. BBölcs'!H21+'4. PMH'!H21+'11. BEK'!H21</f>
        <v>0</v>
      </c>
      <c r="I21" s="938">
        <f>+'10. NGVK'!I21+'9. EFMK'!I21+'8.Szivárvány'!I21+'7. Pitypang'!I21+'6.MosolyvárBölcs'!I21+'5. BBölcs'!I21+'4. PMH'!I21+'11. BEK'!I21</f>
        <v>0</v>
      </c>
      <c r="J21" s="392">
        <f>+'10. NGVK'!J21+'9. EFMK'!J21+'8.Szivárvány'!J21+'7. Pitypang'!J21+'6.MosolyvárBölcs'!J21+'5. BBölcs'!J21+'4. PMH'!J21+'11. BEK'!J21</f>
        <v>0</v>
      </c>
      <c r="K21" s="392">
        <f>+'10. NGVK'!K21+'9. EFMK'!K21+'8.Szivárvány'!K21+'7. Pitypang'!K21+'6.MosolyvárBölcs'!K21+'5. BBölcs'!K21+'4. PMH'!K21+'11. BEK'!K21</f>
        <v>0</v>
      </c>
      <c r="L21" s="926">
        <f>+'10. NGVK'!L21+'9. EFMK'!L21+'8.Szivárvány'!L21+'7. Pitypang'!L21+'6.MosolyvárBölcs'!L21+'5. BBölcs'!L21+'4. PMH'!L21+'11. BEK'!L21</f>
        <v>0</v>
      </c>
      <c r="M21" s="392">
        <f>+'10. NGVK'!M21+'9. EFMK'!M21+'8.Szivárvány'!M21+'7. Pitypang'!M21+'6.MosolyvárBölcs'!M21+'5. BBölcs'!M21+'4. PMH'!M21+'11. BEK'!M21</f>
        <v>0</v>
      </c>
      <c r="N21" s="918">
        <f>+'10. NGVK'!N21+'9. EFMK'!N21+'8.Szivárvány'!N21+'7. Pitypang'!N21+'6.MosolyvárBölcs'!N21+'5. BBölcs'!N21+'4. PMH'!N21+'11. BEK'!N21</f>
        <v>0</v>
      </c>
      <c r="O21" s="926">
        <f>+'10. NGVK'!O21+'9. EFMK'!O21+'8.Szivárvány'!O21+'7. Pitypang'!O21+'6.MosolyvárBölcs'!O21+'5. BBölcs'!O21+'4. PMH'!O21+'11. BEK'!O21</f>
        <v>0</v>
      </c>
    </row>
    <row r="22" spans="1:15" x14ac:dyDescent="0.25">
      <c r="A22" s="387" t="s">
        <v>18</v>
      </c>
      <c r="B22" s="350" t="s">
        <v>79</v>
      </c>
      <c r="C22" s="392">
        <f>+'10. NGVK'!C22+'9. EFMK'!C22+'8.Szivárvány'!C22+'7. Pitypang'!C22+'6.MosolyvárBölcs'!C22+'5. BBölcs'!C22+'4. PMH'!C22+'11. BEK'!C22</f>
        <v>0</v>
      </c>
      <c r="D22" s="918">
        <f>+'10. NGVK'!D22+'9. EFMK'!D22+'8.Szivárvány'!D22+'7. Pitypang'!D22+'6.MosolyvárBölcs'!D22+'5. BBölcs'!D22+'4. PMH'!D22+'11. BEK'!D22</f>
        <v>0</v>
      </c>
      <c r="E22" s="938">
        <f>+'10. NGVK'!E22+'9. EFMK'!E22+'8.Szivárvány'!E22+'7. Pitypang'!E22+'6.MosolyvárBölcs'!E22+'5. BBölcs'!E22+'4. PMH'!E22+'11. BEK'!E22</f>
        <v>0</v>
      </c>
      <c r="F22" s="392">
        <f>+'10. NGVK'!F22+'9. EFMK'!F22+'8.Szivárvány'!F22+'7. Pitypang'!F22+'6.MosolyvárBölcs'!F22+'5. BBölcs'!F22+'4. PMH'!F22+'11. BEK'!F22</f>
        <v>0</v>
      </c>
      <c r="G22" s="392">
        <f>+'10. NGVK'!G22+'9. EFMK'!G22+'8.Szivárvány'!G22+'7. Pitypang'!G22+'6.MosolyvárBölcs'!G22+'5. BBölcs'!G22+'4. PMH'!G22+'11. BEK'!G22</f>
        <v>0</v>
      </c>
      <c r="H22" s="918">
        <f>+'10. NGVK'!H22+'9. EFMK'!H22+'8.Szivárvány'!H22+'7. Pitypang'!H22+'6.MosolyvárBölcs'!H22+'5. BBölcs'!H22+'4. PMH'!H22+'11. BEK'!H22</f>
        <v>0</v>
      </c>
      <c r="I22" s="938">
        <f>+'10. NGVK'!I22+'9. EFMK'!I22+'8.Szivárvány'!I22+'7. Pitypang'!I22+'6.MosolyvárBölcs'!I22+'5. BBölcs'!I22+'4. PMH'!I22+'11. BEK'!I22</f>
        <v>0</v>
      </c>
      <c r="J22" s="392">
        <f>+'10. NGVK'!J22+'9. EFMK'!J22+'8.Szivárvány'!J22+'7. Pitypang'!J22+'6.MosolyvárBölcs'!J22+'5. BBölcs'!J22+'4. PMH'!J22+'11. BEK'!J22</f>
        <v>0</v>
      </c>
      <c r="K22" s="392">
        <f>+'10. NGVK'!K22+'9. EFMK'!K22+'8.Szivárvány'!K22+'7. Pitypang'!K22+'6.MosolyvárBölcs'!K22+'5. BBölcs'!K22+'4. PMH'!K22+'11. BEK'!K22</f>
        <v>0</v>
      </c>
      <c r="L22" s="926">
        <f>+'10. NGVK'!L22+'9. EFMK'!L22+'8.Szivárvány'!L22+'7. Pitypang'!L22+'6.MosolyvárBölcs'!L22+'5. BBölcs'!L22+'4. PMH'!L22+'11. BEK'!L22</f>
        <v>0</v>
      </c>
      <c r="M22" s="392">
        <f>+'10. NGVK'!M22+'9. EFMK'!M22+'8.Szivárvány'!M22+'7. Pitypang'!M22+'6.MosolyvárBölcs'!M22+'5. BBölcs'!M22+'4. PMH'!M22+'11. BEK'!M22</f>
        <v>0</v>
      </c>
      <c r="N22" s="918">
        <f>+'10. NGVK'!N22+'9. EFMK'!N22+'8.Szivárvány'!N22+'7. Pitypang'!N22+'6.MosolyvárBölcs'!N22+'5. BBölcs'!N22+'4. PMH'!N22+'11. BEK'!N22</f>
        <v>0</v>
      </c>
      <c r="O22" s="926">
        <f>+'10. NGVK'!O22+'9. EFMK'!O22+'8.Szivárvány'!O22+'7. Pitypang'!O22+'6.MosolyvárBölcs'!O22+'5. BBölcs'!O22+'4. PMH'!O22+'11. BEK'!O22</f>
        <v>0</v>
      </c>
    </row>
    <row r="23" spans="1:15" x14ac:dyDescent="0.25">
      <c r="A23" s="396" t="s">
        <v>19</v>
      </c>
      <c r="B23" s="351" t="s">
        <v>80</v>
      </c>
      <c r="C23" s="392">
        <f>+'10. NGVK'!C23+'9. EFMK'!C23+'8.Szivárvány'!C23+'7. Pitypang'!C23+'6.MosolyvárBölcs'!C23+'5. BBölcs'!C23+'4. PMH'!C23+'11. BEK'!C23</f>
        <v>281773000</v>
      </c>
      <c r="D23" s="918">
        <f>+'10. NGVK'!D23+'9. EFMK'!D23+'8.Szivárvány'!D23+'7. Pitypang'!D23+'6.MosolyvárBölcs'!D23+'5. BBölcs'!D23+'4. PMH'!D23+'11. BEK'!D23</f>
        <v>283773000</v>
      </c>
      <c r="E23" s="938">
        <f>+'10. NGVK'!E23+'9. EFMK'!E23+'8.Szivárvány'!E23+'7. Pitypang'!E23+'6.MosolyvárBölcs'!E23+'5. BBölcs'!E23+'4. PMH'!E23+'11. BEK'!E23</f>
        <v>283773000</v>
      </c>
      <c r="F23" s="392">
        <f>+'10. NGVK'!F23+'9. EFMK'!F23+'8.Szivárvány'!F23+'7. Pitypang'!F23+'6.MosolyvárBölcs'!F23+'5. BBölcs'!F23+'4. PMH'!F23+'11. BEK'!F23</f>
        <v>0</v>
      </c>
      <c r="G23" s="392">
        <f>+'10. NGVK'!G23+'9. EFMK'!G23+'8.Szivárvány'!G23+'7. Pitypang'!G23+'6.MosolyvárBölcs'!G23+'5. BBölcs'!G23+'4. PMH'!G23+'11. BEK'!G23</f>
        <v>0</v>
      </c>
      <c r="H23" s="918">
        <f>+'10. NGVK'!H23+'9. EFMK'!H23+'8.Szivárvány'!H23+'7. Pitypang'!H23+'6.MosolyvárBölcs'!H23+'5. BBölcs'!H23+'4. PMH'!H23+'11. BEK'!H23</f>
        <v>0</v>
      </c>
      <c r="I23" s="938">
        <f>+'10. NGVK'!I23+'9. EFMK'!I23+'8.Szivárvány'!I23+'7. Pitypang'!I23+'6.MosolyvárBölcs'!I23+'5. BBölcs'!I23+'4. PMH'!I23+'11. BEK'!I23</f>
        <v>0</v>
      </c>
      <c r="J23" s="392">
        <f>+'10. NGVK'!J23+'9. EFMK'!J23+'8.Szivárvány'!J23+'7. Pitypang'!J23+'6.MosolyvárBölcs'!J23+'5. BBölcs'!J23+'4. PMH'!J23+'11. BEK'!J23</f>
        <v>0</v>
      </c>
      <c r="K23" s="392">
        <f>+'10. NGVK'!K23+'9. EFMK'!K23+'8.Szivárvány'!K23+'7. Pitypang'!K23+'6.MosolyvárBölcs'!K23+'5. BBölcs'!K23+'4. PMH'!K23+'11. BEK'!K23</f>
        <v>0</v>
      </c>
      <c r="L23" s="926">
        <f>+'10. NGVK'!L23+'9. EFMK'!L23+'8.Szivárvány'!L23+'7. Pitypang'!L23+'6.MosolyvárBölcs'!L23+'5. BBölcs'!L23+'4. PMH'!L23+'11. BEK'!L23</f>
        <v>0</v>
      </c>
      <c r="M23" s="392">
        <f>+'10. NGVK'!M23+'9. EFMK'!M23+'8.Szivárvány'!M23+'7. Pitypang'!M23+'6.MosolyvárBölcs'!M23+'5. BBölcs'!M23+'4. PMH'!M23+'11. BEK'!M23</f>
        <v>281773000</v>
      </c>
      <c r="N23" s="918">
        <f>+'10. NGVK'!N23+'9. EFMK'!N23+'8.Szivárvány'!N23+'7. Pitypang'!N23+'6.MosolyvárBölcs'!N23+'5. BBölcs'!N23+'4. PMH'!N23+'11. BEK'!N23</f>
        <v>283773000</v>
      </c>
      <c r="O23" s="926">
        <f>+'10. NGVK'!O23+'9. EFMK'!O23+'8.Szivárvány'!O23+'7. Pitypang'!O23+'6.MosolyvárBölcs'!O23+'5. BBölcs'!O23+'4. PMH'!O23+'11. BEK'!O23</f>
        <v>283773000</v>
      </c>
    </row>
    <row r="24" spans="1:15" x14ac:dyDescent="0.25">
      <c r="A24" s="395" t="s">
        <v>20</v>
      </c>
      <c r="B24" s="349" t="s">
        <v>356</v>
      </c>
      <c r="C24" s="392">
        <f>+'10. NGVK'!C24+'9. EFMK'!C24+'8.Szivárvány'!C24+'7. Pitypang'!C24+'6.MosolyvárBölcs'!C24+'5. BBölcs'!C24+'4. PMH'!C24+'11. BEK'!C24</f>
        <v>0</v>
      </c>
      <c r="D24" s="918">
        <f>+'10. NGVK'!D24+'9. EFMK'!D24+'8.Szivárvány'!D24+'7. Pitypang'!D24+'6.MosolyvárBölcs'!D24+'5. BBölcs'!D24+'4. PMH'!D24+'11. BEK'!D24</f>
        <v>0</v>
      </c>
      <c r="E24" s="938">
        <f>+'10. NGVK'!E24+'9. EFMK'!E24+'8.Szivárvány'!E24+'7. Pitypang'!E24+'6.MosolyvárBölcs'!E24+'5. BBölcs'!E24+'4. PMH'!E24+'11. BEK'!E24</f>
        <v>0</v>
      </c>
      <c r="F24" s="392">
        <f>+'10. NGVK'!F24+'9. EFMK'!F24+'8.Szivárvány'!F24+'7. Pitypang'!F24+'6.MosolyvárBölcs'!F24+'5. BBölcs'!F24+'4. PMH'!F24+'11. BEK'!F24</f>
        <v>0</v>
      </c>
      <c r="G24" s="392">
        <f>+'10. NGVK'!G24+'9. EFMK'!G24+'8.Szivárvány'!G24+'7. Pitypang'!G24+'6.MosolyvárBölcs'!G24+'5. BBölcs'!G24+'4. PMH'!G24+'11. BEK'!G24</f>
        <v>0</v>
      </c>
      <c r="H24" s="918">
        <f>+'10. NGVK'!H24+'9. EFMK'!H24+'8.Szivárvány'!H24+'7. Pitypang'!H24+'6.MosolyvárBölcs'!H24+'5. BBölcs'!H24+'4. PMH'!H24+'11. BEK'!H24</f>
        <v>0</v>
      </c>
      <c r="I24" s="938">
        <f>+'10. NGVK'!I24+'9. EFMK'!I24+'8.Szivárvány'!I24+'7. Pitypang'!I24+'6.MosolyvárBölcs'!I24+'5. BBölcs'!I24+'4. PMH'!I24+'11. BEK'!I24</f>
        <v>0</v>
      </c>
      <c r="J24" s="392">
        <f>+'10. NGVK'!J24+'9. EFMK'!J24+'8.Szivárvány'!J24+'7. Pitypang'!J24+'6.MosolyvárBölcs'!J24+'5. BBölcs'!J24+'4. PMH'!J24+'11. BEK'!J24</f>
        <v>0</v>
      </c>
      <c r="K24" s="392">
        <f>+'10. NGVK'!K24+'9. EFMK'!K24+'8.Szivárvány'!K24+'7. Pitypang'!K24+'6.MosolyvárBölcs'!K24+'5. BBölcs'!K24+'4. PMH'!K24+'11. BEK'!K24</f>
        <v>0</v>
      </c>
      <c r="L24" s="926">
        <f>+'10. NGVK'!L24+'9. EFMK'!L24+'8.Szivárvány'!L24+'7. Pitypang'!L24+'6.MosolyvárBölcs'!L24+'5. BBölcs'!L24+'4. PMH'!L24+'11. BEK'!L24</f>
        <v>0</v>
      </c>
      <c r="M24" s="392">
        <f>+'10. NGVK'!M24+'9. EFMK'!M24+'8.Szivárvány'!M24+'7. Pitypang'!M24+'6.MosolyvárBölcs'!M24+'5. BBölcs'!M24+'4. PMH'!M24+'11. BEK'!M24</f>
        <v>0</v>
      </c>
      <c r="N24" s="918">
        <f>+'10. NGVK'!N24+'9. EFMK'!N24+'8.Szivárvány'!N24+'7. Pitypang'!N24+'6.MosolyvárBölcs'!N24+'5. BBölcs'!N24+'4. PMH'!N24+'11. BEK'!N24</f>
        <v>0</v>
      </c>
      <c r="O24" s="926">
        <f>+'10. NGVK'!O24+'9. EFMK'!O24+'8.Szivárvány'!O24+'7. Pitypang'!O24+'6.MosolyvárBölcs'!O24+'5. BBölcs'!O24+'4. PMH'!O24+'11. BEK'!O24</f>
        <v>0</v>
      </c>
    </row>
    <row r="25" spans="1:15" x14ac:dyDescent="0.25">
      <c r="A25" s="395" t="s">
        <v>21</v>
      </c>
      <c r="B25" s="349" t="s">
        <v>357</v>
      </c>
      <c r="C25" s="392">
        <f>+'10. NGVK'!C25+'9. EFMK'!C25+'8.Szivárvány'!C25+'7. Pitypang'!C25+'6.MosolyvárBölcs'!C25+'5. BBölcs'!C25+'4. PMH'!C25+'11. BEK'!C25</f>
        <v>0</v>
      </c>
      <c r="D25" s="918">
        <f>+'10. NGVK'!D25+'9. EFMK'!D25+'8.Szivárvány'!D25+'7. Pitypang'!D25+'6.MosolyvárBölcs'!D25+'5. BBölcs'!D25+'4. PMH'!D25+'11. BEK'!D25</f>
        <v>0</v>
      </c>
      <c r="E25" s="938">
        <f>+'10. NGVK'!E25+'9. EFMK'!E25+'8.Szivárvány'!E25+'7. Pitypang'!E25+'6.MosolyvárBölcs'!E25+'5. BBölcs'!E25+'4. PMH'!E25+'11. BEK'!E25</f>
        <v>0</v>
      </c>
      <c r="F25" s="392"/>
      <c r="G25" s="392">
        <f>+'10. NGVK'!G25+'9. EFMK'!G25+'8.Szivárvány'!G25+'7. Pitypang'!G25+'6.MosolyvárBölcs'!G25+'5. BBölcs'!G25+'4. PMH'!G25+'11. BEK'!G25</f>
        <v>0</v>
      </c>
      <c r="H25" s="918">
        <f>+'10. NGVK'!H25+'9. EFMK'!H25+'8.Szivárvány'!H25+'7. Pitypang'!H25+'6.MosolyvárBölcs'!H25+'5. BBölcs'!H25+'4. PMH'!H25+'11. BEK'!H25</f>
        <v>0</v>
      </c>
      <c r="I25" s="938">
        <f>+'10. NGVK'!I25+'9. EFMK'!I25+'8.Szivárvány'!I25+'7. Pitypang'!I25+'6.MosolyvárBölcs'!I25+'5. BBölcs'!I25+'4. PMH'!I25+'11. BEK'!I25</f>
        <v>0</v>
      </c>
      <c r="J25" s="392"/>
      <c r="K25" s="392">
        <f>+'10. NGVK'!K25+'9. EFMK'!K25+'8.Szivárvány'!K25+'7. Pitypang'!K25+'6.MosolyvárBölcs'!K25+'5. BBölcs'!K25+'4. PMH'!K25+'11. BEK'!K25</f>
        <v>0</v>
      </c>
      <c r="L25" s="926">
        <f>+'10. NGVK'!L25+'9. EFMK'!L25+'8.Szivárvány'!L25+'7. Pitypang'!L25+'6.MosolyvárBölcs'!L25+'5. BBölcs'!L25+'4. PMH'!L25+'11. BEK'!L25</f>
        <v>0</v>
      </c>
      <c r="M25" s="392">
        <f>+'10. NGVK'!M25+'9. EFMK'!M25+'8.Szivárvány'!M25+'7. Pitypang'!M25+'6.MosolyvárBölcs'!M25+'5. BBölcs'!M25+'4. PMH'!M25+'11. BEK'!M25</f>
        <v>0</v>
      </c>
      <c r="N25" s="918">
        <f>+'10. NGVK'!N25+'9. EFMK'!N25+'8.Szivárvány'!N25+'7. Pitypang'!N25+'6.MosolyvárBölcs'!N25+'5. BBölcs'!N25+'4. PMH'!N25+'11. BEK'!N25</f>
        <v>0</v>
      </c>
      <c r="O25" s="926"/>
    </row>
    <row r="26" spans="1:15" x14ac:dyDescent="0.25">
      <c r="A26" s="395" t="s">
        <v>21</v>
      </c>
      <c r="B26" s="349" t="s">
        <v>82</v>
      </c>
      <c r="C26" s="392">
        <f>+'10. NGVK'!C26+'9. EFMK'!C26+'8.Szivárvány'!C26+'7. Pitypang'!C26+'6.MosolyvárBölcs'!C26+'5. BBölcs'!C26+'4. PMH'!C26+'11. BEK'!C26</f>
        <v>0</v>
      </c>
      <c r="D26" s="918">
        <f>+'10. NGVK'!D26+'9. EFMK'!D26+'8.Szivárvány'!D26+'7. Pitypang'!D26+'6.MosolyvárBölcs'!D26+'5. BBölcs'!D26+'4. PMH'!D26+'11. BEK'!D26</f>
        <v>0</v>
      </c>
      <c r="E26" s="938">
        <f>+'10. NGVK'!E26+'9. EFMK'!E26+'8.Szivárvány'!E26+'7. Pitypang'!E26+'6.MosolyvárBölcs'!E26+'5. BBölcs'!E26+'4. PMH'!E26+'11. BEK'!E26</f>
        <v>0</v>
      </c>
      <c r="F26" s="392">
        <f>+'10. NGVK'!F26+'9. EFMK'!F26+'8.Szivárvány'!F26+'7. Pitypang'!F26+'6.MosolyvárBölcs'!F26+'5. BBölcs'!F26+'4. PMH'!F26+'11. BEK'!F26</f>
        <v>0</v>
      </c>
      <c r="G26" s="392">
        <f>+'10. NGVK'!G26+'9. EFMK'!G26+'8.Szivárvány'!G26+'7. Pitypang'!G26+'6.MosolyvárBölcs'!G26+'5. BBölcs'!G26+'4. PMH'!G26+'11. BEK'!G26</f>
        <v>0</v>
      </c>
      <c r="H26" s="918">
        <f>+'10. NGVK'!H26+'9. EFMK'!H26+'8.Szivárvány'!H26+'7. Pitypang'!H26+'6.MosolyvárBölcs'!H26+'5. BBölcs'!H26+'4. PMH'!H26+'11. BEK'!H26</f>
        <v>0</v>
      </c>
      <c r="I26" s="938">
        <f>+'10. NGVK'!I26+'9. EFMK'!I26+'8.Szivárvány'!I26+'7. Pitypang'!I26+'6.MosolyvárBölcs'!I26+'5. BBölcs'!I26+'4. PMH'!I26+'11. BEK'!I26</f>
        <v>0</v>
      </c>
      <c r="J26" s="392">
        <f>+'10. NGVK'!J26+'9. EFMK'!J26+'8.Szivárvány'!J26+'7. Pitypang'!J26+'6.MosolyvárBölcs'!J26+'5. BBölcs'!J26+'4. PMH'!J26+'11. BEK'!J26</f>
        <v>0</v>
      </c>
      <c r="K26" s="392">
        <f>+'10. NGVK'!K26+'9. EFMK'!K26+'8.Szivárvány'!K26+'7. Pitypang'!K26+'6.MosolyvárBölcs'!K26+'5. BBölcs'!K26+'4. PMH'!K26+'11. BEK'!K26</f>
        <v>0</v>
      </c>
      <c r="L26" s="926">
        <f>+'10. NGVK'!L26+'9. EFMK'!L26+'8.Szivárvány'!L26+'7. Pitypang'!L26+'6.MosolyvárBölcs'!L26+'5. BBölcs'!L26+'4. PMH'!L26+'11. BEK'!L26</f>
        <v>0</v>
      </c>
      <c r="M26" s="392">
        <f>+'10. NGVK'!M26+'9. EFMK'!M26+'8.Szivárvány'!M26+'7. Pitypang'!M26+'6.MosolyvárBölcs'!M26+'5. BBölcs'!M26+'4. PMH'!M26+'11. BEK'!M26</f>
        <v>0</v>
      </c>
      <c r="N26" s="918">
        <f>+'10. NGVK'!N26+'9. EFMK'!N26+'8.Szivárvány'!N26+'7. Pitypang'!N26+'6.MosolyvárBölcs'!N26+'5. BBölcs'!N26+'4. PMH'!N26+'11. BEK'!N26</f>
        <v>0</v>
      </c>
      <c r="O26" s="926">
        <f>+'10. NGVK'!O26+'9. EFMK'!O26+'8.Szivárvány'!O26+'7. Pitypang'!O26+'6.MosolyvárBölcs'!O26+'5. BBölcs'!O26+'4. PMH'!O26+'11. BEK'!O26</f>
        <v>0</v>
      </c>
    </row>
    <row r="27" spans="1:15" x14ac:dyDescent="0.25">
      <c r="A27" s="387" t="s">
        <v>22</v>
      </c>
      <c r="B27" s="350" t="s">
        <v>152</v>
      </c>
      <c r="C27" s="392">
        <f>+'10. NGVK'!C27+'9. EFMK'!C27+'8.Szivárvány'!C27+'7. Pitypang'!C27+'6.MosolyvárBölcs'!C27+'5. BBölcs'!C27+'4. PMH'!C27+'11. BEK'!C27</f>
        <v>0</v>
      </c>
      <c r="D27" s="918">
        <f>+'10. NGVK'!D27+'9. EFMK'!D27+'8.Szivárvány'!D27+'7. Pitypang'!D27+'6.MosolyvárBölcs'!D27+'5. BBölcs'!D27+'4. PMH'!D27+'11. BEK'!D27</f>
        <v>0</v>
      </c>
      <c r="E27" s="938">
        <f>+'10. NGVK'!E27+'9. EFMK'!E27+'8.Szivárvány'!E27+'7. Pitypang'!E27+'6.MosolyvárBölcs'!E27+'5. BBölcs'!E27+'4. PMH'!E27+'11. BEK'!E27</f>
        <v>7719288</v>
      </c>
      <c r="F27" s="392">
        <f>+'10. NGVK'!F27+'9. EFMK'!F27+'8.Szivárvány'!F27+'7. Pitypang'!F27+'6.MosolyvárBölcs'!F27+'5. BBölcs'!F27+'4. PMH'!F27+'11. BEK'!F27</f>
        <v>0</v>
      </c>
      <c r="G27" s="392">
        <f>+'10. NGVK'!G27+'9. EFMK'!G27+'8.Szivárvány'!G27+'7. Pitypang'!G27+'6.MosolyvárBölcs'!G27+'5. BBölcs'!G27+'4. PMH'!G27+'11. BEK'!G27</f>
        <v>0</v>
      </c>
      <c r="H27" s="918">
        <f>+'10. NGVK'!H27+'9. EFMK'!H27+'8.Szivárvány'!H27+'7. Pitypang'!H27+'6.MosolyvárBölcs'!H27+'5. BBölcs'!H27+'4. PMH'!H27+'11. BEK'!H27</f>
        <v>0</v>
      </c>
      <c r="I27" s="938">
        <f>+'10. NGVK'!I27+'9. EFMK'!I27+'8.Szivárvány'!I27+'7. Pitypang'!I27+'6.MosolyvárBölcs'!I27+'5. BBölcs'!I27+'4. PMH'!I27+'11. BEK'!I27</f>
        <v>0</v>
      </c>
      <c r="J27" s="392">
        <f>+'10. NGVK'!J27+'9. EFMK'!J27+'8.Szivárvány'!J27+'7. Pitypang'!J27+'6.MosolyvárBölcs'!J27+'5. BBölcs'!J27+'4. PMH'!J27+'11. BEK'!J27</f>
        <v>0</v>
      </c>
      <c r="K27" s="392">
        <f>+'10. NGVK'!K27+'9. EFMK'!K27+'8.Szivárvány'!K27+'7. Pitypang'!K27+'6.MosolyvárBölcs'!K27+'5. BBölcs'!K27+'4. PMH'!K27+'11. BEK'!K27</f>
        <v>0</v>
      </c>
      <c r="L27" s="926">
        <f>+'10. NGVK'!L27+'9. EFMK'!L27+'8.Szivárvány'!L27+'7. Pitypang'!L27+'6.MosolyvárBölcs'!L27+'5. BBölcs'!L27+'4. PMH'!L27+'11. BEK'!L27</f>
        <v>0</v>
      </c>
      <c r="M27" s="392">
        <f>+'10. NGVK'!M27+'9. EFMK'!M27+'8.Szivárvány'!M27+'7. Pitypang'!M27+'6.MosolyvárBölcs'!M27+'5. BBölcs'!M27+'4. PMH'!M27+'11. BEK'!M27</f>
        <v>0</v>
      </c>
      <c r="N27" s="918">
        <f>+'10. NGVK'!N27+'9. EFMK'!N27+'8.Szivárvány'!N27+'7. Pitypang'!N27+'6.MosolyvárBölcs'!N27+'5. BBölcs'!N27+'4. PMH'!N27+'11. BEK'!N27</f>
        <v>0</v>
      </c>
      <c r="O27" s="926">
        <f>+'10. NGVK'!O27+'9. EFMK'!O27+'8.Szivárvány'!O27+'7. Pitypang'!O27+'6.MosolyvárBölcs'!O27+'5. BBölcs'!O27+'4. PMH'!O27+'11. BEK'!O27</f>
        <v>7719288</v>
      </c>
    </row>
    <row r="28" spans="1:15" x14ac:dyDescent="0.25">
      <c r="A28" s="395" t="s">
        <v>23</v>
      </c>
      <c r="B28" s="349" t="s">
        <v>83</v>
      </c>
      <c r="C28" s="392">
        <f>+'10. NGVK'!C28+'9. EFMK'!C28+'8.Szivárvány'!C28+'7. Pitypang'!C28+'6.MosolyvárBölcs'!C28+'5. BBölcs'!C28+'4. PMH'!C28+'11. BEK'!C28</f>
        <v>1165573000</v>
      </c>
      <c r="D28" s="918">
        <f>+'10. NGVK'!D28+'9. EFMK'!D28+'8.Szivárvány'!D28+'7. Pitypang'!D28+'6.MosolyvárBölcs'!D28+'5. BBölcs'!D28+'4. PMH'!D28+'11. BEK'!D28</f>
        <v>1165573000</v>
      </c>
      <c r="E28" s="938">
        <f>+'10. NGVK'!E28+'9. EFMK'!E28+'8.Szivárvány'!E28+'7. Pitypang'!E28+'6.MosolyvárBölcs'!E28+'5. BBölcs'!E28+'4. PMH'!E28+'11. BEK'!E28</f>
        <v>1165573000</v>
      </c>
      <c r="F28" s="392">
        <f>+'10. NGVK'!F28+'9. EFMK'!F28+'8.Szivárvány'!F28+'7. Pitypang'!F28+'6.MosolyvárBölcs'!F28+'5. BBölcs'!F28+'4. PMH'!F28+'11. BEK'!F28</f>
        <v>0</v>
      </c>
      <c r="G28" s="392">
        <f>+'10. NGVK'!G28+'9. EFMK'!G28+'8.Szivárvány'!G28+'7. Pitypang'!G28+'6.MosolyvárBölcs'!G28+'5. BBölcs'!G28+'4. PMH'!G28+'11. BEK'!G28</f>
        <v>0</v>
      </c>
      <c r="H28" s="918">
        <f>+'10. NGVK'!H28+'9. EFMK'!H28+'8.Szivárvány'!H28+'7. Pitypang'!H28+'6.MosolyvárBölcs'!H28+'5. BBölcs'!H28+'4. PMH'!H28+'11. BEK'!H28</f>
        <v>0</v>
      </c>
      <c r="I28" s="938">
        <f>+'10. NGVK'!I28+'9. EFMK'!I28+'8.Szivárvány'!I28+'7. Pitypang'!I28+'6.MosolyvárBölcs'!I28+'5. BBölcs'!I28+'4. PMH'!I28+'11. BEK'!I28</f>
        <v>0</v>
      </c>
      <c r="J28" s="392">
        <f>+'10. NGVK'!J28+'9. EFMK'!J28+'8.Szivárvány'!J28+'7. Pitypang'!J28+'6.MosolyvárBölcs'!J28+'5. BBölcs'!J28+'4. PMH'!J28+'11. BEK'!J28</f>
        <v>0</v>
      </c>
      <c r="K28" s="392">
        <f>+'10. NGVK'!K28+'9. EFMK'!K28+'8.Szivárvány'!K28+'7. Pitypang'!K28+'6.MosolyvárBölcs'!K28+'5. BBölcs'!K28+'4. PMH'!K28+'11. BEK'!K28</f>
        <v>0</v>
      </c>
      <c r="L28" s="926">
        <f>+'10. NGVK'!L28+'9. EFMK'!L28+'8.Szivárvány'!L28+'7. Pitypang'!L28+'6.MosolyvárBölcs'!L28+'5. BBölcs'!L28+'4. PMH'!L28+'11. BEK'!L28</f>
        <v>0</v>
      </c>
      <c r="M28" s="392">
        <f>+'10. NGVK'!M28+'9. EFMK'!M28+'8.Szivárvány'!M28+'7. Pitypang'!M28+'6.MosolyvárBölcs'!M28+'5. BBölcs'!M28+'4. PMH'!M28+'11. BEK'!M28</f>
        <v>1165573000</v>
      </c>
      <c r="N28" s="918">
        <f>+'10. NGVK'!N28+'9. EFMK'!N28+'8.Szivárvány'!N28+'7. Pitypang'!N28+'6.MosolyvárBölcs'!N28+'5. BBölcs'!N28+'4. PMH'!N28+'11. BEK'!N28</f>
        <v>1165573000</v>
      </c>
      <c r="O28" s="926">
        <f>+'10. NGVK'!O28+'9. EFMK'!O28+'8.Szivárvány'!O28+'7. Pitypang'!O28+'6.MosolyvárBölcs'!O28+'5. BBölcs'!O28+'4. PMH'!O28+'11. BEK'!O28</f>
        <v>1165573000</v>
      </c>
    </row>
    <row r="29" spans="1:15" x14ac:dyDescent="0.25">
      <c r="A29" s="395" t="s">
        <v>114</v>
      </c>
      <c r="B29" s="349" t="s">
        <v>84</v>
      </c>
      <c r="C29" s="392">
        <f>+'10. NGVK'!C29+'9. EFMK'!C29+'8.Szivárvány'!C29+'7. Pitypang'!C29+'6.MosolyvárBölcs'!C29+'5. BBölcs'!C29+'4. PMH'!C29+'11. BEK'!C29</f>
        <v>1165573000</v>
      </c>
      <c r="D29" s="918">
        <f>+'10. NGVK'!D29+'9. EFMK'!D29+'8.Szivárvány'!D29+'7. Pitypang'!D29+'6.MosolyvárBölcs'!D29+'5. BBölcs'!D29+'4. PMH'!D29+'11. BEK'!D29</f>
        <v>1165573000</v>
      </c>
      <c r="E29" s="938">
        <f>+'10. NGVK'!E29+'9. EFMK'!E29+'8.Szivárvány'!E29+'7. Pitypang'!E29+'6.MosolyvárBölcs'!E29+'5. BBölcs'!E29+'4. PMH'!E29+'11. BEK'!E29</f>
        <v>1165573000</v>
      </c>
      <c r="F29" s="392">
        <f>+'10. NGVK'!F29+'9. EFMK'!F29+'8.Szivárvány'!F29+'7. Pitypang'!F29+'6.MosolyvárBölcs'!F29+'5. BBölcs'!F29+'4. PMH'!F29+'11. BEK'!F29</f>
        <v>0</v>
      </c>
      <c r="G29" s="392">
        <f>+'10. NGVK'!G29+'9. EFMK'!G29+'8.Szivárvány'!G29+'7. Pitypang'!G29+'6.MosolyvárBölcs'!G29+'5. BBölcs'!G29+'4. PMH'!G29+'11. BEK'!G29</f>
        <v>0</v>
      </c>
      <c r="H29" s="918">
        <f>+'10. NGVK'!H29+'9. EFMK'!H29+'8.Szivárvány'!H29+'7. Pitypang'!H29+'6.MosolyvárBölcs'!H29+'5. BBölcs'!H29+'4. PMH'!H29+'11. BEK'!H29</f>
        <v>0</v>
      </c>
      <c r="I29" s="938">
        <f>+'10. NGVK'!I29+'9. EFMK'!I29+'8.Szivárvány'!I29+'7. Pitypang'!I29+'6.MosolyvárBölcs'!I29+'5. BBölcs'!I29+'4. PMH'!I29+'11. BEK'!I29</f>
        <v>0</v>
      </c>
      <c r="J29" s="392">
        <f>+'10. NGVK'!J29+'9. EFMK'!J29+'8.Szivárvány'!J29+'7. Pitypang'!J29+'6.MosolyvárBölcs'!J29+'5. BBölcs'!J29+'4. PMH'!J29+'11. BEK'!J29</f>
        <v>0</v>
      </c>
      <c r="K29" s="392">
        <f>+'10. NGVK'!K29+'9. EFMK'!K29+'8.Szivárvány'!K29+'7. Pitypang'!K29+'6.MosolyvárBölcs'!K29+'5. BBölcs'!K29+'4. PMH'!K29+'11. BEK'!K29</f>
        <v>0</v>
      </c>
      <c r="L29" s="926">
        <f>+'10. NGVK'!L29+'9. EFMK'!L29+'8.Szivárvány'!L29+'7. Pitypang'!L29+'6.MosolyvárBölcs'!L29+'5. BBölcs'!L29+'4. PMH'!L29+'11. BEK'!L29</f>
        <v>0</v>
      </c>
      <c r="M29" s="392">
        <f>+'10. NGVK'!M29+'9. EFMK'!M29+'8.Szivárvány'!M29+'7. Pitypang'!M29+'6.MosolyvárBölcs'!M29+'5. BBölcs'!M29+'4. PMH'!M29+'11. BEK'!M29</f>
        <v>1165573000</v>
      </c>
      <c r="N29" s="918">
        <f>+'10. NGVK'!N29+'9. EFMK'!N29+'8.Szivárvány'!N29+'7. Pitypang'!N29+'6.MosolyvárBölcs'!N29+'5. BBölcs'!N29+'4. PMH'!N29+'11. BEK'!N29</f>
        <v>1165573000</v>
      </c>
      <c r="O29" s="926">
        <f>+'10. NGVK'!O29+'9. EFMK'!O29+'8.Szivárvány'!O29+'7. Pitypang'!O29+'6.MosolyvárBölcs'!O29+'5. BBölcs'!O29+'4. PMH'!O29+'11. BEK'!O29</f>
        <v>1165573000</v>
      </c>
    </row>
    <row r="30" spans="1:15" x14ac:dyDescent="0.25">
      <c r="A30" s="395" t="s">
        <v>115</v>
      </c>
      <c r="B30" s="352" t="s">
        <v>210</v>
      </c>
      <c r="C30" s="392">
        <f>+'10. NGVK'!C30+'9. EFMK'!C30+'8.Szivárvány'!C30+'7. Pitypang'!C30+'6.MosolyvárBölcs'!C30+'5. BBölcs'!C30+'4. PMH'!C30+'11. BEK'!C30</f>
        <v>0</v>
      </c>
      <c r="D30" s="918">
        <f>+'10. NGVK'!D30+'9. EFMK'!D30+'8.Szivárvány'!D30+'7. Pitypang'!D30+'6.MosolyvárBölcs'!D30+'5. BBölcs'!D30+'4. PMH'!D30+'11. BEK'!D30</f>
        <v>0</v>
      </c>
      <c r="E30" s="938">
        <f>+'10. NGVK'!E30+'9. EFMK'!E30+'8.Szivárvány'!E30+'7. Pitypang'!E30+'6.MosolyvárBölcs'!E30+'5. BBölcs'!E30+'4. PMH'!E30+'11. BEK'!E30</f>
        <v>0</v>
      </c>
      <c r="F30" s="392"/>
      <c r="G30" s="392">
        <f>+'10. NGVK'!G30+'9. EFMK'!G30+'8.Szivárvány'!G30+'7. Pitypang'!G30+'6.MosolyvárBölcs'!G30+'5. BBölcs'!G30+'4. PMH'!G30+'11. BEK'!G30</f>
        <v>0</v>
      </c>
      <c r="H30" s="918">
        <f>+'10. NGVK'!H30+'9. EFMK'!H30+'8.Szivárvány'!H30+'7. Pitypang'!H30+'6.MosolyvárBölcs'!H30+'5. BBölcs'!H30+'4. PMH'!H30+'11. BEK'!H30</f>
        <v>0</v>
      </c>
      <c r="I30" s="938">
        <f>+'10. NGVK'!I30+'9. EFMK'!I30+'8.Szivárvány'!I30+'7. Pitypang'!I30+'6.MosolyvárBölcs'!I30+'5. BBölcs'!I30+'4. PMH'!I30+'11. BEK'!I30</f>
        <v>0</v>
      </c>
      <c r="J30" s="392"/>
      <c r="K30" s="392">
        <f>+'10. NGVK'!K30+'9. EFMK'!K30+'8.Szivárvány'!K30+'7. Pitypang'!K30+'6.MosolyvárBölcs'!K30+'5. BBölcs'!K30+'4. PMH'!K30+'11. BEK'!K30</f>
        <v>0</v>
      </c>
      <c r="L30" s="926">
        <f>+'10. NGVK'!L30+'9. EFMK'!L30+'8.Szivárvány'!L30+'7. Pitypang'!L30+'6.MosolyvárBölcs'!L30+'5. BBölcs'!L30+'4. PMH'!L30+'11. BEK'!L30</f>
        <v>0</v>
      </c>
      <c r="M30" s="392">
        <f>+'10. NGVK'!M30+'9. EFMK'!M30+'8.Szivárvány'!M30+'7. Pitypang'!M30+'6.MosolyvárBölcs'!M30+'5. BBölcs'!M30+'4. PMH'!M30+'11. BEK'!M30</f>
        <v>0</v>
      </c>
      <c r="N30" s="918">
        <f>+'10. NGVK'!N30+'9. EFMK'!N30+'8.Szivárvány'!N30+'7. Pitypang'!N30+'6.MosolyvárBölcs'!N30+'5. BBölcs'!N30+'4. PMH'!N30+'11. BEK'!N30</f>
        <v>0</v>
      </c>
      <c r="O30" s="926"/>
    </row>
    <row r="31" spans="1:15" x14ac:dyDescent="0.25">
      <c r="A31" s="395" t="s">
        <v>24</v>
      </c>
      <c r="B31" s="352" t="s">
        <v>85</v>
      </c>
      <c r="C31" s="392">
        <f>+'10. NGVK'!C31+'9. EFMK'!C31+'8.Szivárvány'!C31+'7. Pitypang'!C31+'6.MosolyvárBölcs'!C31+'5. BBölcs'!C31+'4. PMH'!C31+'11. BEK'!C31</f>
        <v>0</v>
      </c>
      <c r="D31" s="918">
        <f>+'10. NGVK'!D31+'9. EFMK'!D31+'8.Szivárvány'!D31+'7. Pitypang'!D31+'6.MosolyvárBölcs'!D31+'5. BBölcs'!D31+'4. PMH'!D31+'11. BEK'!D31</f>
        <v>0</v>
      </c>
      <c r="E31" s="938">
        <f>+'10. NGVK'!E31+'9. EFMK'!E31+'8.Szivárvány'!E31+'7. Pitypang'!E31+'6.MosolyvárBölcs'!E31+'5. BBölcs'!E31+'4. PMH'!E31+'11. BEK'!E31</f>
        <v>0</v>
      </c>
      <c r="F31" s="392">
        <f>+'10. NGVK'!F31+'9. EFMK'!F31+'8.Szivárvány'!F31+'7. Pitypang'!F31+'6.MosolyvárBölcs'!F31+'5. BBölcs'!F31+'4. PMH'!F31+'11. BEK'!F31</f>
        <v>0</v>
      </c>
      <c r="G31" s="392">
        <f>+'10. NGVK'!G31+'9. EFMK'!G31+'8.Szivárvány'!G31+'7. Pitypang'!G31+'6.MosolyvárBölcs'!G31+'5. BBölcs'!G31+'4. PMH'!G31+'11. BEK'!G31</f>
        <v>0</v>
      </c>
      <c r="H31" s="918">
        <f>+'10. NGVK'!H31+'9. EFMK'!H31+'8.Szivárvány'!H31+'7. Pitypang'!H31+'6.MosolyvárBölcs'!H31+'5. BBölcs'!H31+'4. PMH'!H31+'11. BEK'!H31</f>
        <v>0</v>
      </c>
      <c r="I31" s="938">
        <f>+'10. NGVK'!I31+'9. EFMK'!I31+'8.Szivárvány'!I31+'7. Pitypang'!I31+'6.MosolyvárBölcs'!I31+'5. BBölcs'!I31+'4. PMH'!I31+'11. BEK'!I31</f>
        <v>0</v>
      </c>
      <c r="J31" s="392">
        <f>+'10. NGVK'!J31+'9. EFMK'!J31+'8.Szivárvány'!J31+'7. Pitypang'!J31+'6.MosolyvárBölcs'!J31+'5. BBölcs'!J31+'4. PMH'!J31+'11. BEK'!J31</f>
        <v>0</v>
      </c>
      <c r="K31" s="392">
        <f>+'10. NGVK'!K31+'9. EFMK'!K31+'8.Szivárvány'!K31+'7. Pitypang'!K31+'6.MosolyvárBölcs'!K31+'5. BBölcs'!K31+'4. PMH'!K31+'11. BEK'!K31</f>
        <v>0</v>
      </c>
      <c r="L31" s="926">
        <f>+'10. NGVK'!L31+'9. EFMK'!L31+'8.Szivárvány'!L31+'7. Pitypang'!L31+'6.MosolyvárBölcs'!L31+'5. BBölcs'!L31+'4. PMH'!L31+'11. BEK'!L31</f>
        <v>0</v>
      </c>
      <c r="M31" s="392">
        <f>+'10. NGVK'!M31+'9. EFMK'!M31+'8.Szivárvány'!M31+'7. Pitypang'!M31+'6.MosolyvárBölcs'!M31+'5. BBölcs'!M31+'4. PMH'!M31+'11. BEK'!M31</f>
        <v>0</v>
      </c>
      <c r="N31" s="918">
        <f>+'10. NGVK'!N31+'9. EFMK'!N31+'8.Szivárvány'!N31+'7. Pitypang'!N31+'6.MosolyvárBölcs'!N31+'5. BBölcs'!N31+'4. PMH'!N31+'11. BEK'!N31</f>
        <v>0</v>
      </c>
      <c r="O31" s="926">
        <f>+'10. NGVK'!O31+'9. EFMK'!O31+'8.Szivárvány'!O31+'7. Pitypang'!O31+'6.MosolyvárBölcs'!O31+'5. BBölcs'!O31+'4. PMH'!O31+'11. BEK'!O31</f>
        <v>0</v>
      </c>
    </row>
    <row r="32" spans="1:15" x14ac:dyDescent="0.25">
      <c r="A32" s="395" t="s">
        <v>25</v>
      </c>
      <c r="B32" s="352" t="s">
        <v>86</v>
      </c>
      <c r="C32" s="392">
        <f>+'10. NGVK'!C32+'9. EFMK'!C32+'8.Szivárvány'!C32+'7. Pitypang'!C32+'6.MosolyvárBölcs'!C32+'5. BBölcs'!C32+'4. PMH'!C32+'11. BEK'!C32</f>
        <v>0</v>
      </c>
      <c r="D32" s="918">
        <f>+'10. NGVK'!D32+'9. EFMK'!D32+'8.Szivárvány'!D32+'7. Pitypang'!D32+'6.MosolyvárBölcs'!D32+'5. BBölcs'!D32+'4. PMH'!D32+'11. BEK'!D32</f>
        <v>0</v>
      </c>
      <c r="E32" s="938">
        <f>+'10. NGVK'!E32+'9. EFMK'!E32+'8.Szivárvány'!E32+'7. Pitypang'!E32+'6.MosolyvárBölcs'!E32+'5. BBölcs'!E32+'4. PMH'!E32+'11. BEK'!E32</f>
        <v>0</v>
      </c>
      <c r="F32" s="392">
        <f>+'10. NGVK'!F32+'9. EFMK'!F32+'8.Szivárvány'!F32+'7. Pitypang'!F32+'6.MosolyvárBölcs'!F32+'5. BBölcs'!F32+'4. PMH'!F32+'11. BEK'!F32</f>
        <v>0</v>
      </c>
      <c r="G32" s="392">
        <f>+'10. NGVK'!G32+'9. EFMK'!G32+'8.Szivárvány'!G32+'7. Pitypang'!G32+'6.MosolyvárBölcs'!G32+'5. BBölcs'!G32+'4. PMH'!G32+'11. BEK'!G32</f>
        <v>0</v>
      </c>
      <c r="H32" s="918">
        <f>+'10. NGVK'!H32+'9. EFMK'!H32+'8.Szivárvány'!H32+'7. Pitypang'!H32+'6.MosolyvárBölcs'!H32+'5. BBölcs'!H32+'4. PMH'!H32+'11. BEK'!H32</f>
        <v>0</v>
      </c>
      <c r="I32" s="938">
        <f>+'10. NGVK'!I32+'9. EFMK'!I32+'8.Szivárvány'!I32+'7. Pitypang'!I32+'6.MosolyvárBölcs'!I32+'5. BBölcs'!I32+'4. PMH'!I32+'11. BEK'!I32</f>
        <v>0</v>
      </c>
      <c r="J32" s="392">
        <f>+'10. NGVK'!J32+'9. EFMK'!J32+'8.Szivárvány'!J32+'7. Pitypang'!J32+'6.MosolyvárBölcs'!J32+'5. BBölcs'!J32+'4. PMH'!J32+'11. BEK'!J32</f>
        <v>0</v>
      </c>
      <c r="K32" s="392">
        <f>+'10. NGVK'!K32+'9. EFMK'!K32+'8.Szivárvány'!K32+'7. Pitypang'!K32+'6.MosolyvárBölcs'!K32+'5. BBölcs'!K32+'4. PMH'!K32+'11. BEK'!K32</f>
        <v>0</v>
      </c>
      <c r="L32" s="926">
        <f>+'10. NGVK'!L32+'9. EFMK'!L32+'8.Szivárvány'!L32+'7. Pitypang'!L32+'6.MosolyvárBölcs'!L32+'5. BBölcs'!L32+'4. PMH'!L32+'11. BEK'!L32</f>
        <v>0</v>
      </c>
      <c r="M32" s="392">
        <f>+'10. NGVK'!M32+'9. EFMK'!M32+'8.Szivárvány'!M32+'7. Pitypang'!M32+'6.MosolyvárBölcs'!M32+'5. BBölcs'!M32+'4. PMH'!M32+'11. BEK'!M32</f>
        <v>0</v>
      </c>
      <c r="N32" s="918">
        <f>+'10. NGVK'!N32+'9. EFMK'!N32+'8.Szivárvány'!N32+'7. Pitypang'!N32+'6.MosolyvárBölcs'!N32+'5. BBölcs'!N32+'4. PMH'!N32+'11. BEK'!N32</f>
        <v>0</v>
      </c>
      <c r="O32" s="926">
        <f>+'10. NGVK'!O32+'9. EFMK'!O32+'8.Szivárvány'!O32+'7. Pitypang'!O32+'6.MosolyvárBölcs'!O32+'5. BBölcs'!O32+'4. PMH'!O32+'11. BEK'!O32</f>
        <v>0</v>
      </c>
    </row>
    <row r="33" spans="1:15" x14ac:dyDescent="0.25">
      <c r="A33" s="396" t="s">
        <v>26</v>
      </c>
      <c r="B33" s="351" t="s">
        <v>87</v>
      </c>
      <c r="C33" s="392">
        <f>+'10. NGVK'!C33+'9. EFMK'!C33+'8.Szivárvány'!C33+'7. Pitypang'!C33+'6.MosolyvárBölcs'!C33+'5. BBölcs'!C33+'4. PMH'!C33+'11. BEK'!C33</f>
        <v>1165573000</v>
      </c>
      <c r="D33" s="918">
        <f>+'10. NGVK'!D33+'9. EFMK'!D33+'8.Szivárvány'!D33+'7. Pitypang'!D33+'6.MosolyvárBölcs'!D33+'5. BBölcs'!D33+'4. PMH'!D33+'11. BEK'!D33</f>
        <v>1165573000</v>
      </c>
      <c r="E33" s="938">
        <f>+'10. NGVK'!E33+'9. EFMK'!E33+'8.Szivárvány'!E33+'7. Pitypang'!E33+'6.MosolyvárBölcs'!E33+'5. BBölcs'!E33+'4. PMH'!E33+'11. BEK'!E33</f>
        <v>1173292288</v>
      </c>
      <c r="F33" s="392">
        <f>+'10. NGVK'!F33+'9. EFMK'!F33+'8.Szivárvány'!F33+'7. Pitypang'!F33+'6.MosolyvárBölcs'!F33+'5. BBölcs'!F33+'4. PMH'!F33+'11. BEK'!F33</f>
        <v>0</v>
      </c>
      <c r="G33" s="392">
        <f>+'10. NGVK'!G33+'9. EFMK'!G33+'8.Szivárvány'!G33+'7. Pitypang'!G33+'6.MosolyvárBölcs'!G33+'5. BBölcs'!G33+'4. PMH'!G33+'11. BEK'!G33</f>
        <v>0</v>
      </c>
      <c r="H33" s="918">
        <f>+'10. NGVK'!H33+'9. EFMK'!H33+'8.Szivárvány'!H33+'7. Pitypang'!H33+'6.MosolyvárBölcs'!H33+'5. BBölcs'!H33+'4. PMH'!H33+'11. BEK'!H33</f>
        <v>0</v>
      </c>
      <c r="I33" s="938">
        <f>+'10. NGVK'!I33+'9. EFMK'!I33+'8.Szivárvány'!I33+'7. Pitypang'!I33+'6.MosolyvárBölcs'!I33+'5. BBölcs'!I33+'4. PMH'!I33+'11. BEK'!I33</f>
        <v>0</v>
      </c>
      <c r="J33" s="392">
        <f>+'10. NGVK'!J33+'9. EFMK'!J33+'8.Szivárvány'!J33+'7. Pitypang'!J33+'6.MosolyvárBölcs'!J33+'5. BBölcs'!J33+'4. PMH'!J33+'11. BEK'!J33</f>
        <v>0</v>
      </c>
      <c r="K33" s="392">
        <f>+'10. NGVK'!K33+'9. EFMK'!K33+'8.Szivárvány'!K33+'7. Pitypang'!K33+'6.MosolyvárBölcs'!K33+'5. BBölcs'!K33+'4. PMH'!K33+'11. BEK'!K33</f>
        <v>0</v>
      </c>
      <c r="L33" s="926">
        <f>+'10. NGVK'!L33+'9. EFMK'!L33+'8.Szivárvány'!L33+'7. Pitypang'!L33+'6.MosolyvárBölcs'!L33+'5. BBölcs'!L33+'4. PMH'!L33+'11. BEK'!L33</f>
        <v>0</v>
      </c>
      <c r="M33" s="392">
        <f>+'10. NGVK'!M33+'9. EFMK'!M33+'8.Szivárvány'!M33+'7. Pitypang'!M33+'6.MosolyvárBölcs'!M33+'5. BBölcs'!M33+'4. PMH'!M33+'11. BEK'!M33</f>
        <v>1165573000</v>
      </c>
      <c r="N33" s="918">
        <f>+'10. NGVK'!N33+'9. EFMK'!N33+'8.Szivárvány'!N33+'7. Pitypang'!N33+'6.MosolyvárBölcs'!N33+'5. BBölcs'!N33+'4. PMH'!N33+'11. BEK'!N33</f>
        <v>1165573000</v>
      </c>
      <c r="O33" s="926">
        <f>+'10. NGVK'!O33+'9. EFMK'!O33+'8.Szivárvány'!O33+'7. Pitypang'!O33+'6.MosolyvárBölcs'!O33+'5. BBölcs'!O33+'4. PMH'!O33+'11. BEK'!O33</f>
        <v>1173292288</v>
      </c>
    </row>
    <row r="34" spans="1:15" ht="21" x14ac:dyDescent="0.25">
      <c r="A34" s="613" t="s">
        <v>27</v>
      </c>
      <c r="B34" s="614" t="s">
        <v>88</v>
      </c>
      <c r="C34" s="392">
        <f>+'10. NGVK'!C34+'9. EFMK'!C34+'8.Szivárvány'!C34+'7. Pitypang'!C34+'6.MosolyvárBölcs'!C34+'5. BBölcs'!C34+'4. PMH'!C34+'11. BEK'!C34</f>
        <v>1447346000</v>
      </c>
      <c r="D34" s="918">
        <f>+'10. NGVK'!D34+'9. EFMK'!D34+'8.Szivárvány'!D34+'7. Pitypang'!D34+'6.MosolyvárBölcs'!D34+'5. BBölcs'!D34+'4. PMH'!D34+'11. BEK'!D34</f>
        <v>1449346000</v>
      </c>
      <c r="E34" s="938">
        <f>+'10. NGVK'!E34+'9. EFMK'!E34+'8.Szivárvány'!E34+'7. Pitypang'!E34+'6.MosolyvárBölcs'!E34+'5. BBölcs'!E34+'4. PMH'!E34+'11. BEK'!E34</f>
        <v>1457065288</v>
      </c>
      <c r="F34" s="392">
        <f>+'10. NGVK'!F34+'9. EFMK'!F34+'8.Szivárvány'!F34+'7. Pitypang'!F34+'6.MosolyvárBölcs'!F34+'5. BBölcs'!F34+'4. PMH'!F34+'11. BEK'!F34</f>
        <v>0</v>
      </c>
      <c r="G34" s="392">
        <f>+'10. NGVK'!G34+'9. EFMK'!G34+'8.Szivárvány'!G34+'7. Pitypang'!G34+'6.MosolyvárBölcs'!G34+'5. BBölcs'!G34+'4. PMH'!G34+'11. BEK'!G34</f>
        <v>0</v>
      </c>
      <c r="H34" s="918">
        <f>+'10. NGVK'!H34+'9. EFMK'!H34+'8.Szivárvány'!H34+'7. Pitypang'!H34+'6.MosolyvárBölcs'!H34+'5. BBölcs'!H34+'4. PMH'!H34+'11. BEK'!H34</f>
        <v>0</v>
      </c>
      <c r="I34" s="938">
        <f>+'10. NGVK'!I34+'9. EFMK'!I34+'8.Szivárvány'!I34+'7. Pitypang'!I34+'6.MosolyvárBölcs'!I34+'5. BBölcs'!I34+'4. PMH'!I34+'11. BEK'!I34</f>
        <v>0</v>
      </c>
      <c r="J34" s="392">
        <f>+'10. NGVK'!J34+'9. EFMK'!J34+'8.Szivárvány'!J34+'7. Pitypang'!J34+'6.MosolyvárBölcs'!J34+'5. BBölcs'!J34+'4. PMH'!J34+'11. BEK'!J34</f>
        <v>0</v>
      </c>
      <c r="K34" s="392">
        <f>+'10. NGVK'!K34+'9. EFMK'!K34+'8.Szivárvány'!K34+'7. Pitypang'!K34+'6.MosolyvárBölcs'!K34+'5. BBölcs'!K34+'4. PMH'!K34+'11. BEK'!K34</f>
        <v>0</v>
      </c>
      <c r="L34" s="926">
        <f>+'10. NGVK'!L34+'9. EFMK'!L34+'8.Szivárvány'!L34+'7. Pitypang'!L34+'6.MosolyvárBölcs'!L34+'5. BBölcs'!L34+'4. PMH'!L34+'11. BEK'!L34</f>
        <v>0</v>
      </c>
      <c r="M34" s="392">
        <f>+'10. NGVK'!M34+'9. EFMK'!M34+'8.Szivárvány'!M34+'7. Pitypang'!M34+'6.MosolyvárBölcs'!M34+'5. BBölcs'!M34+'4. PMH'!M34+'11. BEK'!M34</f>
        <v>1447346000</v>
      </c>
      <c r="N34" s="918">
        <f>+'10. NGVK'!N34+'9. EFMK'!N34+'8.Szivárvány'!N34+'7. Pitypang'!N34+'6.MosolyvárBölcs'!N34+'5. BBölcs'!N34+'4. PMH'!N34+'11. BEK'!N34</f>
        <v>1449346000</v>
      </c>
      <c r="O34" s="932">
        <f>+'10. NGVK'!O34+'9. EFMK'!O34+'8.Szivárvány'!O34+'7. Pitypang'!O34+'6.MosolyvárBölcs'!O34+'5. BBölcs'!O34+'4. PMH'!O34+'11. BEK'!O34</f>
        <v>1457065288</v>
      </c>
    </row>
    <row r="35" spans="1:15" x14ac:dyDescent="0.25">
      <c r="A35" s="403"/>
      <c r="B35" s="408"/>
      <c r="C35" s="409"/>
      <c r="D35" s="919"/>
      <c r="E35" s="939"/>
      <c r="F35" s="409"/>
      <c r="G35" s="409"/>
      <c r="H35" s="919"/>
      <c r="I35" s="939"/>
      <c r="J35" s="409"/>
      <c r="K35" s="409"/>
      <c r="L35" s="927"/>
      <c r="M35" s="409"/>
      <c r="N35" s="919"/>
      <c r="O35" s="927"/>
    </row>
    <row r="36" spans="1:15" x14ac:dyDescent="0.25">
      <c r="A36" s="411"/>
      <c r="B36" s="418" t="s">
        <v>5</v>
      </c>
      <c r="C36" s="416"/>
      <c r="D36" s="920"/>
      <c r="E36" s="940"/>
      <c r="F36" s="416"/>
      <c r="G36" s="416"/>
      <c r="H36" s="920"/>
      <c r="I36" s="940"/>
      <c r="J36" s="416"/>
      <c r="K36" s="416"/>
      <c r="L36" s="928"/>
      <c r="M36" s="416"/>
      <c r="N36" s="920"/>
      <c r="O36" s="933"/>
    </row>
    <row r="37" spans="1:15" s="754" customFormat="1" ht="63.75" customHeight="1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92">
        <f>+'10. NGVK'!C38+'9. EFMK'!C38+'8.Szivárvány'!C38+'7. Pitypang'!C38+'6.MosolyvárBölcs'!C38+'5. BBölcs'!C38+'4. PMH'!C38+'11. BEK'!C38</f>
        <v>1438083000</v>
      </c>
      <c r="D38" s="918">
        <f>+'10. NGVK'!D38+'9. EFMK'!D38+'8.Szivárvány'!D38+'7. Pitypang'!D38+'6.MosolyvárBölcs'!D38+'5. BBölcs'!D38+'4. PMH'!D38+'11. BEK'!D38</f>
        <v>1437157000</v>
      </c>
      <c r="E38" s="938">
        <f>+'10. NGVK'!E38+'9. EFMK'!E38+'8.Szivárvány'!E38+'7. Pitypang'!E38+'6.MosolyvárBölcs'!E38+'5. BBölcs'!E38+'4. PMH'!E38+'11. BEK'!E38</f>
        <v>1439290890</v>
      </c>
      <c r="F38" s="392">
        <f>+'10. NGVK'!F38+'9. EFMK'!F38+'8.Szivárvány'!F38+'7. Pitypang'!F38+'6.MosolyvárBölcs'!F38+'5. BBölcs'!F38+'4. PMH'!F38+'11. BEK'!F38</f>
        <v>0</v>
      </c>
      <c r="G38" s="392">
        <f>+'10. NGVK'!G38+'9. EFMK'!G38+'8.Szivárvány'!G38+'7. Pitypang'!G38+'6.MosolyvárBölcs'!G38+'5. BBölcs'!G38+'4. PMH'!G38+'11. BEK'!G38</f>
        <v>0</v>
      </c>
      <c r="H38" s="918">
        <f>+'10. NGVK'!H38+'9. EFMK'!H38+'8.Szivárvány'!H38+'7. Pitypang'!H38+'6.MosolyvárBölcs'!H38+'5. BBölcs'!H38+'4. PMH'!H38+'11. BEK'!H38</f>
        <v>0</v>
      </c>
      <c r="I38" s="938">
        <f>+'10. NGVK'!I38+'9. EFMK'!I38+'8.Szivárvány'!I38+'7. Pitypang'!I38+'6.MosolyvárBölcs'!I38+'5. BBölcs'!I38+'4. PMH'!I38+'11. BEK'!I38</f>
        <v>0</v>
      </c>
      <c r="J38" s="392">
        <f>+'10. NGVK'!J38+'9. EFMK'!J38+'8.Szivárvány'!J38+'7. Pitypang'!J38+'6.MosolyvárBölcs'!J38+'5. BBölcs'!J38+'4. PMH'!J38+'11. BEK'!J38</f>
        <v>0</v>
      </c>
      <c r="K38" s="392">
        <f>+'10. NGVK'!K38+'9. EFMK'!K38+'8.Szivárvány'!K38+'7. Pitypang'!K38+'6.MosolyvárBölcs'!K38+'5. BBölcs'!K38+'4. PMH'!K38+'11. BEK'!K38</f>
        <v>0</v>
      </c>
      <c r="L38" s="926">
        <f>+'10. NGVK'!L38+'9. EFMK'!L38+'8.Szivárvány'!L38+'7. Pitypang'!L38+'6.MosolyvárBölcs'!L38+'5. BBölcs'!L38+'4. PMH'!L38+'11. BEK'!L38</f>
        <v>0</v>
      </c>
      <c r="M38" s="392">
        <f>+'10. NGVK'!M38+'9. EFMK'!M38+'8.Szivárvány'!M38+'7. Pitypang'!M38+'6.MosolyvárBölcs'!M38+'5. BBölcs'!M38+'4. PMH'!M38+'11. BEK'!M38</f>
        <v>1438083000</v>
      </c>
      <c r="N38" s="918">
        <f>+'10. NGVK'!N38+'9. EFMK'!N38+'8.Szivárvány'!N38+'7. Pitypang'!N38+'6.MosolyvárBölcs'!N38+'5. BBölcs'!N38+'4. PMH'!N38+'11. BEK'!N38</f>
        <v>1437157000</v>
      </c>
      <c r="O38" s="926">
        <f>+'10. NGVK'!O38+'9. EFMK'!O38+'8.Szivárvány'!O38+'7. Pitypang'!O38+'6.MosolyvárBölcs'!O38+'5. BBölcs'!O38+'4. PMH'!O38+'11. BEK'!O38</f>
        <v>1439290890</v>
      </c>
    </row>
    <row r="39" spans="1:15" x14ac:dyDescent="0.25">
      <c r="A39" s="425" t="s">
        <v>53</v>
      </c>
      <c r="B39" s="349" t="s">
        <v>6</v>
      </c>
      <c r="C39" s="392">
        <f>+'10. NGVK'!C39+'9. EFMK'!C39+'8.Szivárvány'!C39+'7. Pitypang'!C39+'6.MosolyvárBölcs'!C39+'5. BBölcs'!C39+'4. PMH'!C39+'11. BEK'!C39</f>
        <v>970496000</v>
      </c>
      <c r="D39" s="918">
        <f>+'10. NGVK'!D39+'9. EFMK'!D39+'8.Szivárvány'!D39+'7. Pitypang'!D39+'6.MosolyvárBölcs'!D39+'5. BBölcs'!D39+'4. PMH'!D39+'11. BEK'!D39</f>
        <v>962097500</v>
      </c>
      <c r="E39" s="938">
        <f>+'10. NGVK'!E39+'9. EFMK'!E39+'8.Szivárvány'!E39+'7. Pitypang'!E39+'6.MosolyvárBölcs'!E39+'5. BBölcs'!E39+'4. PMH'!E39+'11. BEK'!E39</f>
        <v>964788812</v>
      </c>
      <c r="F39" s="392">
        <f>+'10. NGVK'!F39+'9. EFMK'!F39+'8.Szivárvány'!F39+'7. Pitypang'!F39+'6.MosolyvárBölcs'!F39+'5. BBölcs'!F39+'4. PMH'!F39+'11. BEK'!F39</f>
        <v>0</v>
      </c>
      <c r="G39" s="392">
        <f>+'10. NGVK'!G39+'9. EFMK'!G39+'8.Szivárvány'!G39+'7. Pitypang'!G39+'6.MosolyvárBölcs'!G39+'5. BBölcs'!G39+'4. PMH'!G39+'11. BEK'!G39</f>
        <v>0</v>
      </c>
      <c r="H39" s="918">
        <f>+'10. NGVK'!H39+'9. EFMK'!H39+'8.Szivárvány'!H39+'7. Pitypang'!H39+'6.MosolyvárBölcs'!H39+'5. BBölcs'!H39+'4. PMH'!H39+'11. BEK'!H39</f>
        <v>0</v>
      </c>
      <c r="I39" s="938">
        <f>+'10. NGVK'!I39+'9. EFMK'!I39+'8.Szivárvány'!I39+'7. Pitypang'!I39+'6.MosolyvárBölcs'!I39+'5. BBölcs'!I39+'4. PMH'!I39+'11. BEK'!I39</f>
        <v>0</v>
      </c>
      <c r="J39" s="392">
        <f>+'10. NGVK'!J39+'9. EFMK'!J39+'8.Szivárvány'!J39+'7. Pitypang'!J39+'6.MosolyvárBölcs'!J39+'5. BBölcs'!J39+'4. PMH'!J39+'11. BEK'!J39</f>
        <v>0</v>
      </c>
      <c r="K39" s="392">
        <f>+'10. NGVK'!K39+'9. EFMK'!K39+'8.Szivárvány'!K39+'7. Pitypang'!K39+'6.MosolyvárBölcs'!K39+'5. BBölcs'!K39+'4. PMH'!K39+'11. BEK'!K39</f>
        <v>0</v>
      </c>
      <c r="L39" s="926">
        <f>+'10. NGVK'!L39+'9. EFMK'!L39+'8.Szivárvány'!L39+'7. Pitypang'!L39+'6.MosolyvárBölcs'!L39+'5. BBölcs'!L39+'4. PMH'!L39+'11. BEK'!L39</f>
        <v>0</v>
      </c>
      <c r="M39" s="392">
        <f>+'10. NGVK'!M39+'9. EFMK'!M39+'8.Szivárvány'!M39+'7. Pitypang'!M39+'6.MosolyvárBölcs'!M39+'5. BBölcs'!M39+'4. PMH'!M39+'11. BEK'!M39</f>
        <v>970496000</v>
      </c>
      <c r="N39" s="918">
        <f>+'10. NGVK'!N39+'9. EFMK'!N39+'8.Szivárvány'!N39+'7. Pitypang'!N39+'6.MosolyvárBölcs'!N39+'5. BBölcs'!N39+'4. PMH'!N39+'11. BEK'!N39</f>
        <v>962097500</v>
      </c>
      <c r="O39" s="926">
        <f>+'10. NGVK'!O39+'9. EFMK'!O39+'8.Szivárvány'!O39+'7. Pitypang'!O39+'6.MosolyvárBölcs'!O39+'5. BBölcs'!O39+'4. PMH'!O39+'11. BEK'!O39</f>
        <v>964788812</v>
      </c>
    </row>
    <row r="40" spans="1:15" x14ac:dyDescent="0.25">
      <c r="A40" s="425" t="s">
        <v>54</v>
      </c>
      <c r="B40" s="349" t="s">
        <v>94</v>
      </c>
      <c r="C40" s="392">
        <f>+'10. NGVK'!C40+'9. EFMK'!C40+'8.Szivárvány'!C40+'7. Pitypang'!C40+'6.MosolyvárBölcs'!C40+'5. BBölcs'!C40+'4. PMH'!C40+'11. BEK'!C40</f>
        <v>159207000</v>
      </c>
      <c r="D40" s="918">
        <f>+'10. NGVK'!D40+'9. EFMK'!D40+'8.Szivárvány'!D40+'7. Pitypang'!D40+'6.MosolyvárBölcs'!D40+'5. BBölcs'!D40+'4. PMH'!D40+'11. BEK'!D40</f>
        <v>158879000</v>
      </c>
      <c r="E40" s="938">
        <f>+'10. NGVK'!E40+'9. EFMK'!E40+'8.Szivárvány'!E40+'7. Pitypang'!E40+'6.MosolyvárBölcs'!E40+'5. BBölcs'!E40+'4. PMH'!E40+'11. BEK'!E40</f>
        <v>158879000</v>
      </c>
      <c r="F40" s="392">
        <f>+'10. NGVK'!F40+'9. EFMK'!F40+'8.Szivárvány'!F40+'7. Pitypang'!F40+'6.MosolyvárBölcs'!F40+'5. BBölcs'!F40+'4. PMH'!F40+'11. BEK'!F40</f>
        <v>0</v>
      </c>
      <c r="G40" s="392">
        <f>+'10. NGVK'!G40+'9. EFMK'!G40+'8.Szivárvány'!G40+'7. Pitypang'!G40+'6.MosolyvárBölcs'!G40+'5. BBölcs'!G40+'4. PMH'!G40+'11. BEK'!G40</f>
        <v>0</v>
      </c>
      <c r="H40" s="918">
        <f>+'10. NGVK'!H40+'9. EFMK'!H40+'8.Szivárvány'!H40+'7. Pitypang'!H40+'6.MosolyvárBölcs'!H40+'5. BBölcs'!H40+'4. PMH'!H40+'11. BEK'!H40</f>
        <v>0</v>
      </c>
      <c r="I40" s="938">
        <f>+'10. NGVK'!I40+'9. EFMK'!I40+'8.Szivárvány'!I40+'7. Pitypang'!I40+'6.MosolyvárBölcs'!I40+'5. BBölcs'!I40+'4. PMH'!I40+'11. BEK'!I40</f>
        <v>0</v>
      </c>
      <c r="J40" s="392">
        <f>+'10. NGVK'!J40+'9. EFMK'!J40+'8.Szivárvány'!J40+'7. Pitypang'!J40+'6.MosolyvárBölcs'!J40+'5. BBölcs'!J40+'4. PMH'!J40+'11. BEK'!J40</f>
        <v>0</v>
      </c>
      <c r="K40" s="392">
        <f>+'10. NGVK'!K40+'9. EFMK'!K40+'8.Szivárvány'!K40+'7. Pitypang'!K40+'6.MosolyvárBölcs'!K40+'5. BBölcs'!K40+'4. PMH'!K40+'11. BEK'!K40</f>
        <v>0</v>
      </c>
      <c r="L40" s="926">
        <f>+'10. NGVK'!L40+'9. EFMK'!L40+'8.Szivárvány'!L40+'7. Pitypang'!L40+'6.MosolyvárBölcs'!L40+'5. BBölcs'!L40+'4. PMH'!L40+'11. BEK'!L40</f>
        <v>0</v>
      </c>
      <c r="M40" s="392">
        <f>+'10. NGVK'!M40+'9. EFMK'!M40+'8.Szivárvány'!M40+'7. Pitypang'!M40+'6.MosolyvárBölcs'!M40+'5. BBölcs'!M40+'4. PMH'!M40+'11. BEK'!M40</f>
        <v>159207000</v>
      </c>
      <c r="N40" s="918">
        <f>+'10. NGVK'!N40+'9. EFMK'!N40+'8.Szivárvány'!N40+'7. Pitypang'!N40+'6.MosolyvárBölcs'!N40+'5. BBölcs'!N40+'4. PMH'!N40+'11. BEK'!N40</f>
        <v>158879000</v>
      </c>
      <c r="O40" s="926">
        <f>+'10. NGVK'!O40+'9. EFMK'!O40+'8.Szivárvány'!O40+'7. Pitypang'!O40+'6.MosolyvárBölcs'!O40+'5. BBölcs'!O40+'4. PMH'!O40+'11. BEK'!O40</f>
        <v>158879000</v>
      </c>
    </row>
    <row r="41" spans="1:15" x14ac:dyDescent="0.25">
      <c r="A41" s="425" t="s">
        <v>55</v>
      </c>
      <c r="B41" s="349" t="s">
        <v>95</v>
      </c>
      <c r="C41" s="392">
        <f>+'10. NGVK'!C41+'9. EFMK'!C41+'8.Szivárvány'!C41+'7. Pitypang'!C41+'6.MosolyvárBölcs'!C41+'5. BBölcs'!C41+'4. PMH'!C41+'11. BEK'!C41</f>
        <v>308380000</v>
      </c>
      <c r="D41" s="918">
        <f>+'10. NGVK'!D41+'9. EFMK'!D41+'8.Szivárvány'!D41+'7. Pitypang'!D41+'6.MosolyvárBölcs'!D41+'5. BBölcs'!D41+'4. PMH'!D41+'11. BEK'!D41</f>
        <v>316180500</v>
      </c>
      <c r="E41" s="938">
        <f>+'10. NGVK'!E41+'9. EFMK'!E41+'8.Szivárvány'!E41+'7. Pitypang'!E41+'6.MosolyvárBölcs'!E41+'5. BBölcs'!E41+'4. PMH'!E41+'11. BEK'!E41</f>
        <v>315623078</v>
      </c>
      <c r="F41" s="392">
        <f>+'10. NGVK'!F41+'9. EFMK'!F41+'8.Szivárvány'!F41+'7. Pitypang'!F41+'6.MosolyvárBölcs'!F41+'5. BBölcs'!F41+'4. PMH'!F41+'11. BEK'!F41</f>
        <v>0</v>
      </c>
      <c r="G41" s="392">
        <f>+'10. NGVK'!G41+'9. EFMK'!G41+'8.Szivárvány'!G41+'7. Pitypang'!G41+'6.MosolyvárBölcs'!G41+'5. BBölcs'!G41+'4. PMH'!G41+'11. BEK'!G41</f>
        <v>0</v>
      </c>
      <c r="H41" s="918">
        <f>+'10. NGVK'!H41+'9. EFMK'!H41+'8.Szivárvány'!H41+'7. Pitypang'!H41+'6.MosolyvárBölcs'!H41+'5. BBölcs'!H41+'4. PMH'!H41+'11. BEK'!H41</f>
        <v>0</v>
      </c>
      <c r="I41" s="938">
        <f>+'10. NGVK'!I41+'9. EFMK'!I41+'8.Szivárvány'!I41+'7. Pitypang'!I41+'6.MosolyvárBölcs'!I41+'5. BBölcs'!I41+'4. PMH'!I41+'11. BEK'!I41</f>
        <v>0</v>
      </c>
      <c r="J41" s="392">
        <f>+'10. NGVK'!J41+'9. EFMK'!J41+'8.Szivárvány'!J41+'7. Pitypang'!J41+'6.MosolyvárBölcs'!J41+'5. BBölcs'!J41+'4. PMH'!J41+'11. BEK'!J41</f>
        <v>0</v>
      </c>
      <c r="K41" s="392">
        <f>+'10. NGVK'!K41+'9. EFMK'!K41+'8.Szivárvány'!K41+'7. Pitypang'!K41+'6.MosolyvárBölcs'!K41+'5. BBölcs'!K41+'4. PMH'!K41+'11. BEK'!K41</f>
        <v>0</v>
      </c>
      <c r="L41" s="926">
        <f>+'10. NGVK'!L41+'9. EFMK'!L41+'8.Szivárvány'!L41+'7. Pitypang'!L41+'6.MosolyvárBölcs'!L41+'5. BBölcs'!L41+'4. PMH'!L41+'11. BEK'!L41</f>
        <v>0</v>
      </c>
      <c r="M41" s="392">
        <f>+'10. NGVK'!M41+'9. EFMK'!M41+'8.Szivárvány'!M41+'7. Pitypang'!M41+'6.MosolyvárBölcs'!M41+'5. BBölcs'!M41+'4. PMH'!M41+'11. BEK'!M41</f>
        <v>308380000</v>
      </c>
      <c r="N41" s="918">
        <f>+'10. NGVK'!N41+'9. EFMK'!N41+'8.Szivárvány'!N41+'7. Pitypang'!N41+'6.MosolyvárBölcs'!N41+'5. BBölcs'!N41+'4. PMH'!N41+'11. BEK'!N41</f>
        <v>316180500</v>
      </c>
      <c r="O41" s="926">
        <f>+'10. NGVK'!O41+'9. EFMK'!O41+'8.Szivárvány'!O41+'7. Pitypang'!O41+'6.MosolyvárBölcs'!O41+'5. BBölcs'!O41+'4. PMH'!O41+'11. BEK'!O41</f>
        <v>315623078</v>
      </c>
    </row>
    <row r="42" spans="1:15" x14ac:dyDescent="0.25">
      <c r="A42" s="425" t="s">
        <v>56</v>
      </c>
      <c r="B42" s="349" t="s">
        <v>96</v>
      </c>
      <c r="C42" s="392">
        <f>+'10. NGVK'!C42+'9. EFMK'!C42+'8.Szivárvány'!C42+'7. Pitypang'!C42+'6.MosolyvárBölcs'!C42+'5. BBölcs'!C42+'4. PMH'!C42+'11. BEK'!C42</f>
        <v>0</v>
      </c>
      <c r="D42" s="918">
        <f>+'10. NGVK'!D42+'9. EFMK'!D42+'8.Szivárvány'!D42+'7. Pitypang'!D42+'6.MosolyvárBölcs'!D42+'5. BBölcs'!D42+'4. PMH'!D42+'11. BEK'!D42</f>
        <v>0</v>
      </c>
      <c r="E42" s="938">
        <f>+'10. NGVK'!E42+'9. EFMK'!E42+'8.Szivárvány'!E42+'7. Pitypang'!E42+'6.MosolyvárBölcs'!E42+'5. BBölcs'!E42+'4. PMH'!E42+'11. BEK'!E42</f>
        <v>0</v>
      </c>
      <c r="F42" s="392">
        <f>+'10. NGVK'!F42+'9. EFMK'!F42+'8.Szivárvány'!F42+'7. Pitypang'!F42+'6.MosolyvárBölcs'!F42+'5. BBölcs'!F42+'4. PMH'!F42+'11. BEK'!F42</f>
        <v>0</v>
      </c>
      <c r="G42" s="392">
        <f>+'10. NGVK'!G42+'9. EFMK'!G42+'8.Szivárvány'!G42+'7. Pitypang'!G42+'6.MosolyvárBölcs'!G42+'5. BBölcs'!G42+'4. PMH'!G42+'11. BEK'!G42</f>
        <v>0</v>
      </c>
      <c r="H42" s="918">
        <f>+'10. NGVK'!H42+'9. EFMK'!H42+'8.Szivárvány'!H42+'7. Pitypang'!H42+'6.MosolyvárBölcs'!H42+'5. BBölcs'!H42+'4. PMH'!H42+'11. BEK'!H42</f>
        <v>0</v>
      </c>
      <c r="I42" s="938">
        <f>+'10. NGVK'!I42+'9. EFMK'!I42+'8.Szivárvány'!I42+'7. Pitypang'!I42+'6.MosolyvárBölcs'!I42+'5. BBölcs'!I42+'4. PMH'!I42+'11. BEK'!I42</f>
        <v>0</v>
      </c>
      <c r="J42" s="392">
        <f>+'10. NGVK'!J42+'9. EFMK'!J42+'8.Szivárvány'!J42+'7. Pitypang'!J42+'6.MosolyvárBölcs'!J42+'5. BBölcs'!J42+'4. PMH'!J42+'11. BEK'!J42</f>
        <v>0</v>
      </c>
      <c r="K42" s="392">
        <f>+'10. NGVK'!K42+'9. EFMK'!K42+'8.Szivárvány'!K42+'7. Pitypang'!K42+'6.MosolyvárBölcs'!K42+'5. BBölcs'!K42+'4. PMH'!K42+'11. BEK'!K42</f>
        <v>0</v>
      </c>
      <c r="L42" s="926">
        <f>+'10. NGVK'!L42+'9. EFMK'!L42+'8.Szivárvány'!L42+'7. Pitypang'!L42+'6.MosolyvárBölcs'!L42+'5. BBölcs'!L42+'4. PMH'!L42+'11. BEK'!L42</f>
        <v>0</v>
      </c>
      <c r="M42" s="392">
        <f>+'10. NGVK'!M42+'9. EFMK'!M42+'8.Szivárvány'!M42+'7. Pitypang'!M42+'6.MosolyvárBölcs'!M42+'5. BBölcs'!M42+'4. PMH'!M42+'11. BEK'!M42</f>
        <v>0</v>
      </c>
      <c r="N42" s="918">
        <f>+'10. NGVK'!N42+'9. EFMK'!N42+'8.Szivárvány'!N42+'7. Pitypang'!N42+'6.MosolyvárBölcs'!N42+'5. BBölcs'!N42+'4. PMH'!N42+'11. BEK'!N42</f>
        <v>0</v>
      </c>
      <c r="O42" s="926">
        <f>+'10. NGVK'!O42+'9. EFMK'!O42+'8.Szivárvány'!O42+'7. Pitypang'!O42+'6.MosolyvárBölcs'!O42+'5. BBölcs'!O42+'4. PMH'!O42+'11. BEK'!O42</f>
        <v>0</v>
      </c>
    </row>
    <row r="43" spans="1:15" x14ac:dyDescent="0.25">
      <c r="A43" s="429" t="s">
        <v>57</v>
      </c>
      <c r="B43" s="350" t="s">
        <v>97</v>
      </c>
      <c r="C43" s="392">
        <f>+'10. NGVK'!C43+'9. EFMK'!C43+'8.Szivárvány'!C43+'7. Pitypang'!C43+'6.MosolyvárBölcs'!C43+'5. BBölcs'!C43+'4. PMH'!C43+'11. BEK'!C43</f>
        <v>0</v>
      </c>
      <c r="D43" s="918">
        <f>+'10. NGVK'!D43+'9. EFMK'!D43+'8.Szivárvány'!D43+'7. Pitypang'!D43+'6.MosolyvárBölcs'!D43+'5. BBölcs'!D43+'4. PMH'!D43+'11. BEK'!D43</f>
        <v>0</v>
      </c>
      <c r="E43" s="938">
        <f>+'10. NGVK'!E43+'9. EFMK'!E43+'8.Szivárvány'!E43+'7. Pitypang'!E43+'6.MosolyvárBölcs'!E43+'5. BBölcs'!E43+'4. PMH'!E43+'11. BEK'!E43</f>
        <v>0</v>
      </c>
      <c r="F43" s="392">
        <f>+'10. NGVK'!F43+'9. EFMK'!F43+'8.Szivárvány'!F43+'7. Pitypang'!F43+'6.MosolyvárBölcs'!F43+'5. BBölcs'!F43+'4. PMH'!F43+'11. BEK'!F43</f>
        <v>0</v>
      </c>
      <c r="G43" s="392">
        <f>+'10. NGVK'!G43+'9. EFMK'!G43+'8.Szivárvány'!G43+'7. Pitypang'!G43+'6.MosolyvárBölcs'!G43+'5. BBölcs'!G43+'4. PMH'!G43+'11. BEK'!G43</f>
        <v>0</v>
      </c>
      <c r="H43" s="918">
        <f>+'10. NGVK'!H43+'9. EFMK'!H43+'8.Szivárvány'!H43+'7. Pitypang'!H43+'6.MosolyvárBölcs'!H43+'5. BBölcs'!H43+'4. PMH'!H43+'11. BEK'!H43</f>
        <v>0</v>
      </c>
      <c r="I43" s="938">
        <f>+'10. NGVK'!I43+'9. EFMK'!I43+'8.Szivárvány'!I43+'7. Pitypang'!I43+'6.MosolyvárBölcs'!I43+'5. BBölcs'!I43+'4. PMH'!I43+'11. BEK'!I43</f>
        <v>0</v>
      </c>
      <c r="J43" s="392">
        <f>+'10. NGVK'!J43+'9. EFMK'!J43+'8.Szivárvány'!J43+'7. Pitypang'!J43+'6.MosolyvárBölcs'!J43+'5. BBölcs'!J43+'4. PMH'!J43+'11. BEK'!J43</f>
        <v>0</v>
      </c>
      <c r="K43" s="392">
        <f>+'10. NGVK'!K43+'9. EFMK'!K43+'8.Szivárvány'!K43+'7. Pitypang'!K43+'6.MosolyvárBölcs'!K43+'5. BBölcs'!K43+'4. PMH'!K43+'11. BEK'!K43</f>
        <v>0</v>
      </c>
      <c r="L43" s="926">
        <f>+'10. NGVK'!L43+'9. EFMK'!L43+'8.Szivárvány'!L43+'7. Pitypang'!L43+'6.MosolyvárBölcs'!L43+'5. BBölcs'!L43+'4. PMH'!L43+'11. BEK'!L43</f>
        <v>0</v>
      </c>
      <c r="M43" s="392">
        <f>+'10. NGVK'!M43+'9. EFMK'!M43+'8.Szivárvány'!M43+'7. Pitypang'!M43+'6.MosolyvárBölcs'!M43+'5. BBölcs'!M43+'4. PMH'!M43+'11. BEK'!M43</f>
        <v>0</v>
      </c>
      <c r="N43" s="918">
        <f>+'10. NGVK'!N43+'9. EFMK'!N43+'8.Szivárvány'!N43+'7. Pitypang'!N43+'6.MosolyvárBölcs'!N43+'5. BBölcs'!N43+'4. PMH'!N43+'11. BEK'!N43</f>
        <v>0</v>
      </c>
      <c r="O43" s="926">
        <f>+'10. NGVK'!O43+'9. EFMK'!O43+'8.Szivárvány'!O43+'7. Pitypang'!O43+'6.MosolyvárBölcs'!O43+'5. BBölcs'!O43+'4. PMH'!O43+'11. BEK'!O43</f>
        <v>0</v>
      </c>
    </row>
    <row r="44" spans="1:15" x14ac:dyDescent="0.25">
      <c r="A44" s="430" t="s">
        <v>91</v>
      </c>
      <c r="B44" s="349" t="s">
        <v>330</v>
      </c>
      <c r="C44" s="392">
        <f>+'10. NGVK'!C44+'9. EFMK'!C44+'8.Szivárvány'!C44+'7. Pitypang'!C44+'6.MosolyvárBölcs'!C44+'5. BBölcs'!C44+'4. PMH'!C44+'11. BEK'!C44</f>
        <v>0</v>
      </c>
      <c r="D44" s="918">
        <f>+'10. NGVK'!D44+'9. EFMK'!D44+'8.Szivárvány'!D44+'7. Pitypang'!D44+'6.MosolyvárBölcs'!D44+'5. BBölcs'!D44+'4. PMH'!D44+'11. BEK'!D44</f>
        <v>0</v>
      </c>
      <c r="E44" s="938">
        <f>+'10. NGVK'!E44+'9. EFMK'!E44+'8.Szivárvány'!E44+'7. Pitypang'!E44+'6.MosolyvárBölcs'!E44+'5. BBölcs'!E44+'4. PMH'!E44+'11. BEK'!E44</f>
        <v>0</v>
      </c>
      <c r="F44" s="392"/>
      <c r="G44" s="392">
        <f>+'10. NGVK'!G44+'9. EFMK'!G44+'8.Szivárvány'!G44+'7. Pitypang'!G44+'6.MosolyvárBölcs'!G44+'5. BBölcs'!G44+'4. PMH'!G44+'11. BEK'!G44</f>
        <v>0</v>
      </c>
      <c r="H44" s="918">
        <f>+'10. NGVK'!H44+'9. EFMK'!H44+'8.Szivárvány'!H44+'7. Pitypang'!H44+'6.MosolyvárBölcs'!H44+'5. BBölcs'!H44+'4. PMH'!H44+'11. BEK'!H44</f>
        <v>0</v>
      </c>
      <c r="I44" s="938">
        <f>+'10. NGVK'!I44+'9. EFMK'!I44+'8.Szivárvány'!I44+'7. Pitypang'!I44+'6.MosolyvárBölcs'!I44+'5. BBölcs'!I44+'4. PMH'!I44+'11. BEK'!I44</f>
        <v>0</v>
      </c>
      <c r="J44" s="392"/>
      <c r="K44" s="392">
        <f>+'10. NGVK'!K44+'9. EFMK'!K44+'8.Szivárvány'!K44+'7. Pitypang'!K44+'6.MosolyvárBölcs'!K44+'5. BBölcs'!K44+'4. PMH'!K44+'11. BEK'!K44</f>
        <v>0</v>
      </c>
      <c r="L44" s="926">
        <f>+'10. NGVK'!L44+'9. EFMK'!L44+'8.Szivárvány'!L44+'7. Pitypang'!L44+'6.MosolyvárBölcs'!L44+'5. BBölcs'!L44+'4. PMH'!L44+'11. BEK'!L44</f>
        <v>0</v>
      </c>
      <c r="M44" s="392">
        <f>+'10. NGVK'!M44+'9. EFMK'!M44+'8.Szivárvány'!M44+'7. Pitypang'!M44+'6.MosolyvárBölcs'!M44+'5. BBölcs'!M44+'4. PMH'!M44+'11. BEK'!M44</f>
        <v>0</v>
      </c>
      <c r="N44" s="918">
        <f>+'10. NGVK'!N44+'9. EFMK'!N44+'8.Szivárvány'!N44+'7. Pitypang'!N44+'6.MosolyvárBölcs'!N44+'5. BBölcs'!N44+'4. PMH'!N44+'11. BEK'!N44</f>
        <v>0</v>
      </c>
      <c r="O44" s="926"/>
    </row>
    <row r="45" spans="1:15" x14ac:dyDescent="0.25">
      <c r="A45" s="431" t="s">
        <v>92</v>
      </c>
      <c r="B45" s="350" t="s">
        <v>421</v>
      </c>
      <c r="C45" s="392">
        <f>+'10. NGVK'!C45+'9. EFMK'!C45+'8.Szivárvány'!C45+'7. Pitypang'!C45+'6.MosolyvárBölcs'!C45+'5. BBölcs'!C45+'4. PMH'!C45+'11. BEK'!C45</f>
        <v>0</v>
      </c>
      <c r="D45" s="918">
        <f>+'10. NGVK'!D45+'9. EFMK'!D45+'8.Szivárvány'!D45+'7. Pitypang'!D45+'6.MosolyvárBölcs'!D45+'5. BBölcs'!D45+'4. PMH'!D45+'11. BEK'!D45</f>
        <v>0</v>
      </c>
      <c r="E45" s="938">
        <f>+'10. NGVK'!E45+'9. EFMK'!E45+'8.Szivárvány'!E45+'7. Pitypang'!E45+'6.MosolyvárBölcs'!E45+'5. BBölcs'!E45+'4. PMH'!E45+'11. BEK'!E45</f>
        <v>0</v>
      </c>
      <c r="F45" s="392"/>
      <c r="G45" s="392">
        <f>+'10. NGVK'!G45+'9. EFMK'!G45+'8.Szivárvány'!G45+'7. Pitypang'!G45+'6.MosolyvárBölcs'!G45+'5. BBölcs'!G45+'4. PMH'!G45+'11. BEK'!G45</f>
        <v>0</v>
      </c>
      <c r="H45" s="918">
        <f>+'10. NGVK'!H45+'9. EFMK'!H45+'8.Szivárvány'!H45+'7. Pitypang'!H45+'6.MosolyvárBölcs'!H45+'5. BBölcs'!H45+'4. PMH'!H45+'11. BEK'!H45</f>
        <v>0</v>
      </c>
      <c r="I45" s="938">
        <f>+'10. NGVK'!I45+'9. EFMK'!I45+'8.Szivárvány'!I45+'7. Pitypang'!I45+'6.MosolyvárBölcs'!I45+'5. BBölcs'!I45+'4. PMH'!I45+'11. BEK'!I45</f>
        <v>0</v>
      </c>
      <c r="J45" s="392"/>
      <c r="K45" s="392">
        <f>+'10. NGVK'!K45+'9. EFMK'!K45+'8.Szivárvány'!K45+'7. Pitypang'!K45+'6.MosolyvárBölcs'!K45+'5. BBölcs'!K45+'4. PMH'!K45+'11. BEK'!K45</f>
        <v>0</v>
      </c>
      <c r="L45" s="926">
        <f>+'10. NGVK'!L45+'9. EFMK'!L45+'8.Szivárvány'!L45+'7. Pitypang'!L45+'6.MosolyvárBölcs'!L45+'5. BBölcs'!L45+'4. PMH'!L45+'11. BEK'!L45</f>
        <v>0</v>
      </c>
      <c r="M45" s="392">
        <f>+'10. NGVK'!M45+'9. EFMK'!M45+'8.Szivárvány'!M45+'7. Pitypang'!M45+'6.MosolyvárBölcs'!M45+'5. BBölcs'!M45+'4. PMH'!M45+'11. BEK'!M45</f>
        <v>0</v>
      </c>
      <c r="N45" s="918">
        <f>+'10. NGVK'!N45+'9. EFMK'!N45+'8.Szivárvány'!N45+'7. Pitypang'!N45+'6.MosolyvárBölcs'!N45+'5. BBölcs'!N45+'4. PMH'!N45+'11. BEK'!N45</f>
        <v>0</v>
      </c>
      <c r="O45" s="926"/>
    </row>
    <row r="46" spans="1:15" x14ac:dyDescent="0.25">
      <c r="A46" s="430" t="s">
        <v>329</v>
      </c>
      <c r="B46" s="432" t="s">
        <v>98</v>
      </c>
      <c r="C46" s="392">
        <f>+'10. NGVK'!C46+'9. EFMK'!C46+'8.Szivárvány'!C46+'7. Pitypang'!C46+'6.MosolyvárBölcs'!C46+'5. BBölcs'!C46+'4. PMH'!C46+'11. BEK'!C46</f>
        <v>0</v>
      </c>
      <c r="D46" s="918">
        <f>+'10. NGVK'!D46+'9. EFMK'!D46+'8.Szivárvány'!D46+'7. Pitypang'!D46+'6.MosolyvárBölcs'!D46+'5. BBölcs'!D46+'4. PMH'!D46+'11. BEK'!D46</f>
        <v>0</v>
      </c>
      <c r="E46" s="938">
        <f>+'10. NGVK'!E46+'9. EFMK'!E46+'8.Szivárvány'!E46+'7. Pitypang'!E46+'6.MosolyvárBölcs'!E46+'5. BBölcs'!E46+'4. PMH'!E46+'11. BEK'!E46</f>
        <v>0</v>
      </c>
      <c r="F46" s="392"/>
      <c r="G46" s="392">
        <f>+'10. NGVK'!G46+'9. EFMK'!G46+'8.Szivárvány'!G46+'7. Pitypang'!G46+'6.MosolyvárBölcs'!G46+'5. BBölcs'!G46+'4. PMH'!G46+'11. BEK'!G46</f>
        <v>0</v>
      </c>
      <c r="H46" s="918">
        <f>+'10. NGVK'!H46+'9. EFMK'!H46+'8.Szivárvány'!H46+'7. Pitypang'!H46+'6.MosolyvárBölcs'!H46+'5. BBölcs'!H46+'4. PMH'!H46+'11. BEK'!H46</f>
        <v>0</v>
      </c>
      <c r="I46" s="938">
        <f>+'10. NGVK'!I46+'9. EFMK'!I46+'8.Szivárvány'!I46+'7. Pitypang'!I46+'6.MosolyvárBölcs'!I46+'5. BBölcs'!I46+'4. PMH'!I46+'11. BEK'!I46</f>
        <v>0</v>
      </c>
      <c r="J46" s="392"/>
      <c r="K46" s="392">
        <f>+'10. NGVK'!K46+'9. EFMK'!K46+'8.Szivárvány'!K46+'7. Pitypang'!K46+'6.MosolyvárBölcs'!K46+'5. BBölcs'!K46+'4. PMH'!K46+'11. BEK'!K46</f>
        <v>0</v>
      </c>
      <c r="L46" s="926">
        <f>+'10. NGVK'!L46+'9. EFMK'!L46+'8.Szivárvány'!L46+'7. Pitypang'!L46+'6.MosolyvárBölcs'!L46+'5. BBölcs'!L46+'4. PMH'!L46+'11. BEK'!L46</f>
        <v>0</v>
      </c>
      <c r="M46" s="392">
        <f>+'10. NGVK'!M46+'9. EFMK'!M46+'8.Szivárvány'!M46+'7. Pitypang'!M46+'6.MosolyvárBölcs'!M46+'5. BBölcs'!M46+'4. PMH'!M46+'11. BEK'!M46</f>
        <v>0</v>
      </c>
      <c r="N46" s="918">
        <f>+'10. NGVK'!N46+'9. EFMK'!N46+'8.Szivárvány'!N46+'7. Pitypang'!N46+'6.MosolyvárBölcs'!N46+'5. BBölcs'!N46+'4. PMH'!N46+'11. BEK'!N46</f>
        <v>0</v>
      </c>
      <c r="O46" s="926"/>
    </row>
    <row r="47" spans="1:15" x14ac:dyDescent="0.25">
      <c r="A47" s="430" t="s">
        <v>420</v>
      </c>
      <c r="B47" s="432" t="s">
        <v>99</v>
      </c>
      <c r="C47" s="392">
        <f>+'10. NGVK'!C47+'9. EFMK'!C47+'8.Szivárvány'!C47+'7. Pitypang'!C47+'6.MosolyvárBölcs'!C47+'5. BBölcs'!C47+'4. PMH'!C47+'11. BEK'!C47</f>
        <v>0</v>
      </c>
      <c r="D47" s="918">
        <f>+'10. NGVK'!D47+'9. EFMK'!D47+'8.Szivárvány'!D47+'7. Pitypang'!D47+'6.MosolyvárBölcs'!D47+'5. BBölcs'!D47+'4. PMH'!D47+'11. BEK'!D47</f>
        <v>0</v>
      </c>
      <c r="E47" s="938">
        <f>+'10. NGVK'!E47+'9. EFMK'!E47+'8.Szivárvány'!E47+'7. Pitypang'!E47+'6.MosolyvárBölcs'!E47+'5. BBölcs'!E47+'4. PMH'!E47+'11. BEK'!E47</f>
        <v>0</v>
      </c>
      <c r="F47" s="392"/>
      <c r="G47" s="392">
        <f>+'10. NGVK'!G47+'9. EFMK'!G47+'8.Szivárvány'!G47+'7. Pitypang'!G47+'6.MosolyvárBölcs'!G47+'5. BBölcs'!G47+'4. PMH'!G47+'11. BEK'!G47</f>
        <v>0</v>
      </c>
      <c r="H47" s="918">
        <f>+'10. NGVK'!H47+'9. EFMK'!H47+'8.Szivárvány'!H47+'7. Pitypang'!H47+'6.MosolyvárBölcs'!H47+'5. BBölcs'!H47+'4. PMH'!H47+'11. BEK'!H47</f>
        <v>0</v>
      </c>
      <c r="I47" s="938">
        <f>+'10. NGVK'!I47+'9. EFMK'!I47+'8.Szivárvány'!I47+'7. Pitypang'!I47+'6.MosolyvárBölcs'!I47+'5. BBölcs'!I47+'4. PMH'!I47+'11. BEK'!I47</f>
        <v>0</v>
      </c>
      <c r="J47" s="392"/>
      <c r="K47" s="392">
        <f>+'10. NGVK'!K47+'9. EFMK'!K47+'8.Szivárvány'!K47+'7. Pitypang'!K47+'6.MosolyvárBölcs'!K47+'5. BBölcs'!K47+'4. PMH'!K47+'11. BEK'!K47</f>
        <v>0</v>
      </c>
      <c r="L47" s="926">
        <f>+'10. NGVK'!L47+'9. EFMK'!L47+'8.Szivárvány'!L47+'7. Pitypang'!L47+'6.MosolyvárBölcs'!L47+'5. BBölcs'!L47+'4. PMH'!L47+'11. BEK'!L47</f>
        <v>0</v>
      </c>
      <c r="M47" s="392">
        <f>+'10. NGVK'!M47+'9. EFMK'!M47+'8.Szivárvány'!M47+'7. Pitypang'!M47+'6.MosolyvárBölcs'!M47+'5. BBölcs'!M47+'4. PMH'!M47+'11. BEK'!M47</f>
        <v>0</v>
      </c>
      <c r="N47" s="918">
        <f>+'10. NGVK'!N47+'9. EFMK'!N47+'8.Szivárvány'!N47+'7. Pitypang'!N47+'6.MosolyvárBölcs'!N47+'5. BBölcs'!N47+'4. PMH'!N47+'11. BEK'!N47</f>
        <v>0</v>
      </c>
      <c r="O47" s="926"/>
    </row>
    <row r="48" spans="1:15" x14ac:dyDescent="0.25">
      <c r="A48" s="431" t="s">
        <v>93</v>
      </c>
      <c r="B48" s="350" t="s">
        <v>8</v>
      </c>
      <c r="C48" s="392">
        <f>+'10. NGVK'!C48+'9. EFMK'!C48+'8.Szivárvány'!C48+'7. Pitypang'!C48+'6.MosolyvárBölcs'!C48+'5. BBölcs'!C48+'4. PMH'!C48+'11. BEK'!C48</f>
        <v>0</v>
      </c>
      <c r="D48" s="918">
        <f>+'10. NGVK'!D48+'9. EFMK'!D48+'8.Szivárvány'!D48+'7. Pitypang'!D48+'6.MosolyvárBölcs'!D48+'5. BBölcs'!D48+'4. PMH'!D48+'11. BEK'!D48</f>
        <v>0</v>
      </c>
      <c r="E48" s="938">
        <f>+'10. NGVK'!E48+'9. EFMK'!E48+'8.Szivárvány'!E48+'7. Pitypang'!E48+'6.MosolyvárBölcs'!E48+'5. BBölcs'!E48+'4. PMH'!E48+'11. BEK'!E48</f>
        <v>0</v>
      </c>
      <c r="F48" s="392">
        <f>+'10. NGVK'!F48+'9. EFMK'!F48+'8.Szivárvány'!F48+'7. Pitypang'!F48+'6.MosolyvárBölcs'!F48+'5. BBölcs'!F48+'4. PMH'!F48+'11. BEK'!F48</f>
        <v>0</v>
      </c>
      <c r="G48" s="392">
        <f>+'10. NGVK'!G48+'9. EFMK'!G48+'8.Szivárvány'!G48+'7. Pitypang'!G48+'6.MosolyvárBölcs'!G48+'5. BBölcs'!G48+'4. PMH'!G48+'11. BEK'!G48</f>
        <v>0</v>
      </c>
      <c r="H48" s="918">
        <f>+'10. NGVK'!H48+'9. EFMK'!H48+'8.Szivárvány'!H48+'7. Pitypang'!H48+'6.MosolyvárBölcs'!H48+'5. BBölcs'!H48+'4. PMH'!H48+'11. BEK'!H48</f>
        <v>0</v>
      </c>
      <c r="I48" s="938">
        <f>+'10. NGVK'!I48+'9. EFMK'!I48+'8.Szivárvány'!I48+'7. Pitypang'!I48+'6.MosolyvárBölcs'!I48+'5. BBölcs'!I48+'4. PMH'!I48+'11. BEK'!I48</f>
        <v>0</v>
      </c>
      <c r="J48" s="392">
        <f>+'10. NGVK'!J48+'9. EFMK'!J48+'8.Szivárvány'!J48+'7. Pitypang'!J48+'6.MosolyvárBölcs'!J48+'5. BBölcs'!J48+'4. PMH'!J48+'11. BEK'!J48</f>
        <v>0</v>
      </c>
      <c r="K48" s="392">
        <f>+'10. NGVK'!K48+'9. EFMK'!K48+'8.Szivárvány'!K48+'7. Pitypang'!K48+'6.MosolyvárBölcs'!K48+'5. BBölcs'!K48+'4. PMH'!K48+'11. BEK'!K48</f>
        <v>0</v>
      </c>
      <c r="L48" s="926">
        <f>+'10. NGVK'!L48+'9. EFMK'!L48+'8.Szivárvány'!L48+'7. Pitypang'!L48+'6.MosolyvárBölcs'!L48+'5. BBölcs'!L48+'4. PMH'!L48+'11. BEK'!L48</f>
        <v>0</v>
      </c>
      <c r="M48" s="392">
        <f>+'10. NGVK'!M48+'9. EFMK'!M48+'8.Szivárvány'!M48+'7. Pitypang'!M48+'6.MosolyvárBölcs'!M48+'5. BBölcs'!M48+'4. PMH'!M48+'11. BEK'!M48</f>
        <v>0</v>
      </c>
      <c r="N48" s="918">
        <f>+'10. NGVK'!N48+'9. EFMK'!N48+'8.Szivárvány'!N48+'7. Pitypang'!N48+'6.MosolyvárBölcs'!N48+'5. BBölcs'!N48+'4. PMH'!N48+'11. BEK'!N48</f>
        <v>0</v>
      </c>
      <c r="O48" s="926">
        <f>+'10. NGVK'!O48+'9. EFMK'!O48+'8.Szivárvány'!O48+'7. Pitypang'!O48+'6.MosolyvárBölcs'!O48+'5. BBölcs'!O48+'4. PMH'!O48+'11. BEK'!O48</f>
        <v>0</v>
      </c>
    </row>
    <row r="49" spans="1:16" x14ac:dyDescent="0.25">
      <c r="A49" s="430"/>
      <c r="B49" s="349" t="s">
        <v>250</v>
      </c>
      <c r="C49" s="392">
        <f>+'10. NGVK'!C49+'9. EFMK'!C49+'8.Szivárvány'!C49+'7. Pitypang'!C49+'6.MosolyvárBölcs'!C49+'5. BBölcs'!C49+'4. PMH'!C49+'11. BEK'!C49</f>
        <v>0</v>
      </c>
      <c r="D49" s="918">
        <f>+'10. NGVK'!D49+'9. EFMK'!D49+'8.Szivárvány'!D49+'7. Pitypang'!D49+'6.MosolyvárBölcs'!D49+'5. BBölcs'!D49+'4. PMH'!D49+'11. BEK'!D49</f>
        <v>0</v>
      </c>
      <c r="E49" s="938">
        <f>+'10. NGVK'!E49+'9. EFMK'!E49+'8.Szivárvány'!E49+'7. Pitypang'!E49+'6.MosolyvárBölcs'!E49+'5. BBölcs'!E49+'4. PMH'!E49+'11. BEK'!E49</f>
        <v>0</v>
      </c>
      <c r="F49" s="392"/>
      <c r="G49" s="392">
        <f>+'10. NGVK'!G49+'9. EFMK'!G49+'8.Szivárvány'!G49+'7. Pitypang'!G49+'6.MosolyvárBölcs'!G49+'5. BBölcs'!G49+'4. PMH'!G49+'11. BEK'!G49</f>
        <v>0</v>
      </c>
      <c r="H49" s="918">
        <f>+'10. NGVK'!H49+'9. EFMK'!H49+'8.Szivárvány'!H49+'7. Pitypang'!H49+'6.MosolyvárBölcs'!H49+'5. BBölcs'!H49+'4. PMH'!H49+'11. BEK'!H49</f>
        <v>0</v>
      </c>
      <c r="I49" s="938">
        <f>+'10. NGVK'!I49+'9. EFMK'!I49+'8.Szivárvány'!I49+'7. Pitypang'!I49+'6.MosolyvárBölcs'!I49+'5. BBölcs'!I49+'4. PMH'!I49+'11. BEK'!I49</f>
        <v>0</v>
      </c>
      <c r="J49" s="392"/>
      <c r="K49" s="392">
        <f>+'10. NGVK'!K49+'9. EFMK'!K49+'8.Szivárvány'!K49+'7. Pitypang'!K49+'6.MosolyvárBölcs'!K49+'5. BBölcs'!K49+'4. PMH'!K49+'11. BEK'!K49</f>
        <v>0</v>
      </c>
      <c r="L49" s="926">
        <f>+'10. NGVK'!L49+'9. EFMK'!L49+'8.Szivárvány'!L49+'7. Pitypang'!L49+'6.MosolyvárBölcs'!L49+'5. BBölcs'!L49+'4. PMH'!L49+'11. BEK'!L49</f>
        <v>0</v>
      </c>
      <c r="M49" s="392">
        <f>+'10. NGVK'!M49+'9. EFMK'!M49+'8.Szivárvány'!M49+'7. Pitypang'!M49+'6.MosolyvárBölcs'!M49+'5. BBölcs'!M49+'4. PMH'!M49+'11. BEK'!M49</f>
        <v>0</v>
      </c>
      <c r="N49" s="918">
        <f>+'10. NGVK'!N49+'9. EFMK'!N49+'8.Szivárvány'!N49+'7. Pitypang'!N49+'6.MosolyvárBölcs'!N49+'5. BBölcs'!N49+'4. PMH'!N49+'11. BEK'!N49</f>
        <v>0</v>
      </c>
      <c r="O49" s="926"/>
    </row>
    <row r="50" spans="1:16" x14ac:dyDescent="0.25">
      <c r="A50" s="431" t="s">
        <v>12</v>
      </c>
      <c r="B50" s="350" t="s">
        <v>100</v>
      </c>
      <c r="C50" s="392">
        <f>+'10. NGVK'!C50+'9. EFMK'!C50+'8.Szivárvány'!C50+'7. Pitypang'!C50+'6.MosolyvárBölcs'!C50+'5. BBölcs'!C50+'4. PMH'!C50+'11. BEK'!C50</f>
        <v>9263000</v>
      </c>
      <c r="D50" s="918">
        <f>+'10. NGVK'!D50+'9. EFMK'!D50+'8.Szivárvány'!D50+'7. Pitypang'!D50+'6.MosolyvárBölcs'!D50+'5. BBölcs'!D50+'4. PMH'!D50+'11. BEK'!D50</f>
        <v>12189000</v>
      </c>
      <c r="E50" s="938">
        <f>+'10. NGVK'!E50+'9. EFMK'!E50+'8.Szivárvány'!E50+'7. Pitypang'!E50+'6.MosolyvárBölcs'!E50+'5. BBölcs'!E50+'4. PMH'!E50+'11. BEK'!E50</f>
        <v>17774398</v>
      </c>
      <c r="F50" s="392">
        <f>+'10. NGVK'!F50+'9. EFMK'!F50+'8.Szivárvány'!F50+'7. Pitypang'!F50+'6.MosolyvárBölcs'!F50+'5. BBölcs'!F50+'4. PMH'!F50+'11. BEK'!F50</f>
        <v>0</v>
      </c>
      <c r="G50" s="392">
        <f>+'10. NGVK'!G50+'9. EFMK'!G50+'8.Szivárvány'!G50+'7. Pitypang'!G50+'6.MosolyvárBölcs'!G50+'5. BBölcs'!G50+'4. PMH'!G50+'11. BEK'!G50</f>
        <v>0</v>
      </c>
      <c r="H50" s="918">
        <f>+'10. NGVK'!H50+'9. EFMK'!H50+'8.Szivárvány'!H50+'7. Pitypang'!H50+'6.MosolyvárBölcs'!H50+'5. BBölcs'!H50+'4. PMH'!H50+'11. BEK'!H50</f>
        <v>0</v>
      </c>
      <c r="I50" s="938">
        <f>+'10. NGVK'!I50+'9. EFMK'!I50+'8.Szivárvány'!I50+'7. Pitypang'!I50+'6.MosolyvárBölcs'!I50+'5. BBölcs'!I50+'4. PMH'!I50+'11. BEK'!I50</f>
        <v>0</v>
      </c>
      <c r="J50" s="392">
        <f>+'10. NGVK'!J50+'9. EFMK'!J50+'8.Szivárvány'!J50+'7. Pitypang'!J50+'6.MosolyvárBölcs'!J50+'5. BBölcs'!J50+'4. PMH'!J50+'11. BEK'!J50</f>
        <v>0</v>
      </c>
      <c r="K50" s="392">
        <f>+'10. NGVK'!K50+'9. EFMK'!K50+'8.Szivárvány'!K50+'7. Pitypang'!K50+'6.MosolyvárBölcs'!K50+'5. BBölcs'!K50+'4. PMH'!K50+'11. BEK'!K50</f>
        <v>0</v>
      </c>
      <c r="L50" s="926">
        <f>+'10. NGVK'!L50+'9. EFMK'!L50+'8.Szivárvány'!L50+'7. Pitypang'!L50+'6.MosolyvárBölcs'!L50+'5. BBölcs'!L50+'4. PMH'!L50+'11. BEK'!L50</f>
        <v>0</v>
      </c>
      <c r="M50" s="392">
        <f>+'10. NGVK'!M50+'9. EFMK'!M50+'8.Szivárvány'!M50+'7. Pitypang'!M50+'6.MosolyvárBölcs'!M50+'5. BBölcs'!M50+'4. PMH'!M50+'11. BEK'!M50</f>
        <v>9263000</v>
      </c>
      <c r="N50" s="918">
        <f>+'10. NGVK'!N50+'9. EFMK'!N50+'8.Szivárvány'!N50+'7. Pitypang'!N50+'6.MosolyvárBölcs'!N50+'5. BBölcs'!N50+'4. PMH'!N50+'11. BEK'!N50</f>
        <v>12189000</v>
      </c>
      <c r="O50" s="926">
        <f>+'10. NGVK'!O50+'9. EFMK'!O50+'8.Szivárvány'!O50+'7. Pitypang'!O50+'6.MosolyvárBölcs'!O50+'5. BBölcs'!O50+'4. PMH'!O50+'11. BEK'!O50</f>
        <v>17774398</v>
      </c>
    </row>
    <row r="51" spans="1:16" x14ac:dyDescent="0.25">
      <c r="A51" s="430" t="s">
        <v>49</v>
      </c>
      <c r="B51" s="349" t="s">
        <v>9</v>
      </c>
      <c r="C51" s="392">
        <f>+'10. NGVK'!C51+'9. EFMK'!C51+'8.Szivárvány'!C51+'7. Pitypang'!C51+'6.MosolyvárBölcs'!C51+'5. BBölcs'!C51+'4. PMH'!C51+'11. BEK'!C51</f>
        <v>5739000</v>
      </c>
      <c r="D51" s="918">
        <f>+'10. NGVK'!D51+'9. EFMK'!D51+'8.Szivárvány'!D51+'7. Pitypang'!D51+'6.MosolyvárBölcs'!D51+'5. BBölcs'!D51+'4. PMH'!D51+'11. BEK'!D51</f>
        <v>8665000</v>
      </c>
      <c r="E51" s="938">
        <f>+'10. NGVK'!E51+'9. EFMK'!E51+'8.Szivárvány'!E51+'7. Pitypang'!E51+'6.MosolyvárBölcs'!E51+'5. BBölcs'!E51+'4. PMH'!E51+'11. BEK'!E51</f>
        <v>14092807</v>
      </c>
      <c r="F51" s="392">
        <f>+'10. NGVK'!F51+'9. EFMK'!F51+'8.Szivárvány'!F51+'7. Pitypang'!F51+'6.MosolyvárBölcs'!F51+'5. BBölcs'!F51+'4. PMH'!F51+'11. BEK'!F51</f>
        <v>0</v>
      </c>
      <c r="G51" s="392">
        <f>+'10. NGVK'!G51+'9. EFMK'!G51+'8.Szivárvány'!G51+'7. Pitypang'!G51+'6.MosolyvárBölcs'!G51+'5. BBölcs'!G51+'4. PMH'!G51+'11. BEK'!G51</f>
        <v>0</v>
      </c>
      <c r="H51" s="918">
        <f>+'10. NGVK'!H51+'9. EFMK'!H51+'8.Szivárvány'!H51+'7. Pitypang'!H51+'6.MosolyvárBölcs'!H51+'5. BBölcs'!H51+'4. PMH'!H51+'11. BEK'!H51</f>
        <v>0</v>
      </c>
      <c r="I51" s="938">
        <f>+'10. NGVK'!I51+'9. EFMK'!I51+'8.Szivárvány'!I51+'7. Pitypang'!I51+'6.MosolyvárBölcs'!I51+'5. BBölcs'!I51+'4. PMH'!I51+'11. BEK'!I51</f>
        <v>0</v>
      </c>
      <c r="J51" s="392">
        <f>+'10. NGVK'!J51+'9. EFMK'!J51+'8.Szivárvány'!J51+'7. Pitypang'!J51+'6.MosolyvárBölcs'!J51+'5. BBölcs'!J51+'4. PMH'!J51+'11. BEK'!J51</f>
        <v>0</v>
      </c>
      <c r="K51" s="392">
        <f>+'10. NGVK'!K51+'9. EFMK'!K51+'8.Szivárvány'!K51+'7. Pitypang'!K51+'6.MosolyvárBölcs'!K51+'5. BBölcs'!K51+'4. PMH'!K51+'11. BEK'!K51</f>
        <v>0</v>
      </c>
      <c r="L51" s="926">
        <f>+'10. NGVK'!L51+'9. EFMK'!L51+'8.Szivárvány'!L51+'7. Pitypang'!L51+'6.MosolyvárBölcs'!L51+'5. BBölcs'!L51+'4. PMH'!L51+'11. BEK'!L51</f>
        <v>0</v>
      </c>
      <c r="M51" s="392">
        <f>+'10. NGVK'!M51+'9. EFMK'!M51+'8.Szivárvány'!M51+'7. Pitypang'!M51+'6.MosolyvárBölcs'!M51+'5. BBölcs'!M51+'4. PMH'!M51+'11. BEK'!M51</f>
        <v>5739000</v>
      </c>
      <c r="N51" s="918">
        <f>+'10. NGVK'!N51+'9. EFMK'!N51+'8.Szivárvány'!N51+'7. Pitypang'!N51+'6.MosolyvárBölcs'!N51+'5. BBölcs'!N51+'4. PMH'!N51+'11. BEK'!N51</f>
        <v>8665000</v>
      </c>
      <c r="O51" s="926">
        <f>+'10. NGVK'!O51+'9. EFMK'!O51+'8.Szivárvány'!O51+'7. Pitypang'!O51+'6.MosolyvárBölcs'!O51+'5. BBölcs'!O51+'4. PMH'!O51+'11. BEK'!O51</f>
        <v>14092807</v>
      </c>
    </row>
    <row r="52" spans="1:16" x14ac:dyDescent="0.25">
      <c r="A52" s="430" t="s">
        <v>50</v>
      </c>
      <c r="B52" s="349" t="s">
        <v>10</v>
      </c>
      <c r="C52" s="392">
        <f>+'10. NGVK'!C52+'9. EFMK'!C52+'8.Szivárvány'!C52+'7. Pitypang'!C52+'6.MosolyvárBölcs'!C52+'5. BBölcs'!C52+'4. PMH'!C52+'11. BEK'!C52</f>
        <v>3524000</v>
      </c>
      <c r="D52" s="918">
        <f>+'10. NGVK'!D52+'9. EFMK'!D52+'8.Szivárvány'!D52+'7. Pitypang'!D52+'6.MosolyvárBölcs'!D52+'5. BBölcs'!D52+'4. PMH'!D52+'11. BEK'!D52</f>
        <v>3524000</v>
      </c>
      <c r="E52" s="938">
        <f>+'10. NGVK'!E52+'9. EFMK'!E52+'8.Szivárvány'!E52+'7. Pitypang'!E52+'6.MosolyvárBölcs'!E52+'5. BBölcs'!E52+'4. PMH'!E52+'11. BEK'!E52</f>
        <v>3681591</v>
      </c>
      <c r="F52" s="392">
        <f>+'10. NGVK'!F52+'9. EFMK'!F52+'8.Szivárvány'!F52+'7. Pitypang'!F52+'6.MosolyvárBölcs'!F52+'5. BBölcs'!F52+'4. PMH'!F52+'11. BEK'!F52</f>
        <v>0</v>
      </c>
      <c r="G52" s="392">
        <f>+'10. NGVK'!G52+'9. EFMK'!G52+'8.Szivárvány'!G52+'7. Pitypang'!G52+'6.MosolyvárBölcs'!G52+'5. BBölcs'!G52+'4. PMH'!G52+'11. BEK'!G52</f>
        <v>0</v>
      </c>
      <c r="H52" s="918">
        <f>+'10. NGVK'!H52+'9. EFMK'!H52+'8.Szivárvány'!H52+'7. Pitypang'!H52+'6.MosolyvárBölcs'!H52+'5. BBölcs'!H52+'4. PMH'!H52+'11. BEK'!H52</f>
        <v>0</v>
      </c>
      <c r="I52" s="938">
        <f>+'10. NGVK'!I52+'9. EFMK'!I52+'8.Szivárvány'!I52+'7. Pitypang'!I52+'6.MosolyvárBölcs'!I52+'5. BBölcs'!I52+'4. PMH'!I52+'11. BEK'!I52</f>
        <v>0</v>
      </c>
      <c r="J52" s="392">
        <f>+'10. NGVK'!J52+'9. EFMK'!J52+'8.Szivárvány'!J52+'7. Pitypang'!J52+'6.MosolyvárBölcs'!J52+'5. BBölcs'!J52+'4. PMH'!J52+'11. BEK'!J52</f>
        <v>0</v>
      </c>
      <c r="K52" s="392">
        <f>+'10. NGVK'!K52+'9. EFMK'!K52+'8.Szivárvány'!K52+'7. Pitypang'!K52+'6.MosolyvárBölcs'!K52+'5. BBölcs'!K52+'4. PMH'!K52+'11. BEK'!K52</f>
        <v>0</v>
      </c>
      <c r="L52" s="926">
        <f>+'10. NGVK'!L52+'9. EFMK'!L52+'8.Szivárvány'!L52+'7. Pitypang'!L52+'6.MosolyvárBölcs'!L52+'5. BBölcs'!L52+'4. PMH'!L52+'11. BEK'!L52</f>
        <v>0</v>
      </c>
      <c r="M52" s="392">
        <f>+'10. NGVK'!M52+'9. EFMK'!M52+'8.Szivárvány'!M52+'7. Pitypang'!M52+'6.MosolyvárBölcs'!M52+'5. BBölcs'!M52+'4. PMH'!M52+'11. BEK'!M52</f>
        <v>3524000</v>
      </c>
      <c r="N52" s="918">
        <f>+'10. NGVK'!N52+'9. EFMK'!N52+'8.Szivárvány'!N52+'7. Pitypang'!N52+'6.MosolyvárBölcs'!N52+'5. BBölcs'!N52+'4. PMH'!N52+'11. BEK'!N52</f>
        <v>3524000</v>
      </c>
      <c r="O52" s="926">
        <f>+'10. NGVK'!O52+'9. EFMK'!O52+'8.Szivárvány'!O52+'7. Pitypang'!O52+'6.MosolyvárBölcs'!O52+'5. BBölcs'!O52+'4. PMH'!O52+'11. BEK'!O52</f>
        <v>3681591</v>
      </c>
    </row>
    <row r="53" spans="1:16" x14ac:dyDescent="0.25">
      <c r="A53" s="430" t="s">
        <v>58</v>
      </c>
      <c r="B53" s="349" t="s">
        <v>101</v>
      </c>
      <c r="C53" s="392">
        <f>+'10. NGVK'!C53+'9. EFMK'!C53+'8.Szivárvány'!C53+'7. Pitypang'!C53+'6.MosolyvárBölcs'!C53+'5. BBölcs'!C53+'4. PMH'!C53+'11. BEK'!C53</f>
        <v>0</v>
      </c>
      <c r="D53" s="918">
        <f>+'10. NGVK'!D53+'9. EFMK'!D53+'8.Szivárvány'!D53+'7. Pitypang'!D53+'6.MosolyvárBölcs'!D53+'5. BBölcs'!D53+'4. PMH'!D53+'11. BEK'!D53</f>
        <v>0</v>
      </c>
      <c r="E53" s="938">
        <f>+'10. NGVK'!E53+'9. EFMK'!E53+'8.Szivárvány'!E53+'7. Pitypang'!E53+'6.MosolyvárBölcs'!E53+'5. BBölcs'!E53+'4. PMH'!E53+'11. BEK'!E53</f>
        <v>0</v>
      </c>
      <c r="F53" s="392">
        <f>+'10. NGVK'!F53+'9. EFMK'!F53+'8.Szivárvány'!F53+'7. Pitypang'!F53+'6.MosolyvárBölcs'!F53+'5. BBölcs'!F53+'4. PMH'!F53+'11. BEK'!F53</f>
        <v>0</v>
      </c>
      <c r="G53" s="392">
        <f>+'10. NGVK'!G53+'9. EFMK'!G53+'8.Szivárvány'!G53+'7. Pitypang'!G53+'6.MosolyvárBölcs'!G53+'5. BBölcs'!G53+'4. PMH'!G53+'11. BEK'!G53</f>
        <v>0</v>
      </c>
      <c r="H53" s="918">
        <f>+'10. NGVK'!H53+'9. EFMK'!H53+'8.Szivárvány'!H53+'7. Pitypang'!H53+'6.MosolyvárBölcs'!H53+'5. BBölcs'!H53+'4. PMH'!H53+'11. BEK'!H53</f>
        <v>0</v>
      </c>
      <c r="I53" s="938">
        <f>+'10. NGVK'!I53+'9. EFMK'!I53+'8.Szivárvány'!I53+'7. Pitypang'!I53+'6.MosolyvárBölcs'!I53+'5. BBölcs'!I53+'4. PMH'!I53+'11. BEK'!I53</f>
        <v>0</v>
      </c>
      <c r="J53" s="392">
        <f>+'10. NGVK'!J53+'9. EFMK'!J53+'8.Szivárvány'!J53+'7. Pitypang'!J53+'6.MosolyvárBölcs'!J53+'5. BBölcs'!J53+'4. PMH'!J53+'11. BEK'!J53</f>
        <v>0</v>
      </c>
      <c r="K53" s="392">
        <f>+'10. NGVK'!K53+'9. EFMK'!K53+'8.Szivárvány'!K53+'7. Pitypang'!K53+'6.MosolyvárBölcs'!K53+'5. BBölcs'!K53+'4. PMH'!K53+'11. BEK'!K53</f>
        <v>0</v>
      </c>
      <c r="L53" s="926">
        <f>+'10. NGVK'!L53+'9. EFMK'!L53+'8.Szivárvány'!L53+'7. Pitypang'!L53+'6.MosolyvárBölcs'!L53+'5. BBölcs'!L53+'4. PMH'!L53+'11. BEK'!L53</f>
        <v>0</v>
      </c>
      <c r="M53" s="392">
        <f>+'10. NGVK'!M53+'9. EFMK'!M53+'8.Szivárvány'!M53+'7. Pitypang'!M53+'6.MosolyvárBölcs'!M53+'5. BBölcs'!M53+'4. PMH'!M53+'11. BEK'!M53</f>
        <v>0</v>
      </c>
      <c r="N53" s="918">
        <f>+'10. NGVK'!N53+'9. EFMK'!N53+'8.Szivárvány'!N53+'7. Pitypang'!N53+'6.MosolyvárBölcs'!N53+'5. BBölcs'!N53+'4. PMH'!N53+'11. BEK'!N53</f>
        <v>0</v>
      </c>
      <c r="O53" s="926">
        <f>+'10. NGVK'!O53+'9. EFMK'!O53+'8.Szivárvány'!O53+'7. Pitypang'!O53+'6.MosolyvárBölcs'!O53+'5. BBölcs'!O53+'4. PMH'!O53+'11. BEK'!O53</f>
        <v>0</v>
      </c>
    </row>
    <row r="54" spans="1:16" x14ac:dyDescent="0.25">
      <c r="A54" s="433" t="s">
        <v>13</v>
      </c>
      <c r="B54" s="351" t="s">
        <v>102</v>
      </c>
      <c r="C54" s="392">
        <f>+'10. NGVK'!C54+'9. EFMK'!C54+'8.Szivárvány'!C54+'7. Pitypang'!C54+'6.MosolyvárBölcs'!C54+'5. BBölcs'!C54+'4. PMH'!C54+'11. BEK'!C54</f>
        <v>1447346000</v>
      </c>
      <c r="D54" s="918">
        <f>+'10. NGVK'!D54+'9. EFMK'!D54+'8.Szivárvány'!D54+'7. Pitypang'!D54+'6.MosolyvárBölcs'!D54+'5. BBölcs'!D54+'4. PMH'!D54+'11. BEK'!D54</f>
        <v>1449346000</v>
      </c>
      <c r="E54" s="938">
        <f>+'10. NGVK'!E54+'9. EFMK'!E54+'8.Szivárvány'!E54+'7. Pitypang'!E54+'6.MosolyvárBölcs'!E54+'5. BBölcs'!E54+'4. PMH'!E54+'11. BEK'!E54</f>
        <v>1457065288</v>
      </c>
      <c r="F54" s="392">
        <f>+'10. NGVK'!F54+'9. EFMK'!F54+'8.Szivárvány'!F54+'7. Pitypang'!F54+'6.MosolyvárBölcs'!F54+'5. BBölcs'!F54+'4. PMH'!F54+'11. BEK'!F54</f>
        <v>0</v>
      </c>
      <c r="G54" s="392">
        <f>+'10. NGVK'!G54+'9. EFMK'!G54+'8.Szivárvány'!G54+'7. Pitypang'!G54+'6.MosolyvárBölcs'!G54+'5. BBölcs'!G54+'4. PMH'!G54+'11. BEK'!G54</f>
        <v>0</v>
      </c>
      <c r="H54" s="918">
        <f>+'10. NGVK'!H54+'9. EFMK'!H54+'8.Szivárvány'!H54+'7. Pitypang'!H54+'6.MosolyvárBölcs'!H54+'5. BBölcs'!H54+'4. PMH'!H54+'11. BEK'!H54</f>
        <v>0</v>
      </c>
      <c r="I54" s="938">
        <f>+'10. NGVK'!I54+'9. EFMK'!I54+'8.Szivárvány'!I54+'7. Pitypang'!I54+'6.MosolyvárBölcs'!I54+'5. BBölcs'!I54+'4. PMH'!I54+'11. BEK'!I54</f>
        <v>0</v>
      </c>
      <c r="J54" s="392">
        <f>+'10. NGVK'!J54+'9. EFMK'!J54+'8.Szivárvány'!J54+'7. Pitypang'!J54+'6.MosolyvárBölcs'!J54+'5. BBölcs'!J54+'4. PMH'!J54+'11. BEK'!J54</f>
        <v>0</v>
      </c>
      <c r="K54" s="392">
        <f>+'10. NGVK'!K54+'9. EFMK'!K54+'8.Szivárvány'!K54+'7. Pitypang'!K54+'6.MosolyvárBölcs'!K54+'5. BBölcs'!K54+'4. PMH'!K54+'11. BEK'!K54</f>
        <v>0</v>
      </c>
      <c r="L54" s="926">
        <f>+'10. NGVK'!L54+'9. EFMK'!L54+'8.Szivárvány'!L54+'7. Pitypang'!L54+'6.MosolyvárBölcs'!L54+'5. BBölcs'!L54+'4. PMH'!L54+'11. BEK'!L54</f>
        <v>0</v>
      </c>
      <c r="M54" s="392">
        <f>+'10. NGVK'!M54+'9. EFMK'!M54+'8.Szivárvány'!M54+'7. Pitypang'!M54+'6.MosolyvárBölcs'!M54+'5. BBölcs'!M54+'4. PMH'!M54+'11. BEK'!M54</f>
        <v>1447346000</v>
      </c>
      <c r="N54" s="918">
        <f>+'10. NGVK'!N54+'9. EFMK'!N54+'8.Szivárvány'!N54+'7. Pitypang'!N54+'6.MosolyvárBölcs'!N54+'5. BBölcs'!N54+'4. PMH'!N54+'11. BEK'!N54</f>
        <v>1449346000</v>
      </c>
      <c r="O54" s="926">
        <f>+'10. NGVK'!O54+'9. EFMK'!O54+'8.Szivárvány'!O54+'7. Pitypang'!O54+'6.MosolyvárBölcs'!O54+'5. BBölcs'!O54+'4. PMH'!O54+'11. BEK'!O54</f>
        <v>1457065288</v>
      </c>
    </row>
    <row r="55" spans="1:16" x14ac:dyDescent="0.25">
      <c r="A55" s="425" t="s">
        <v>14</v>
      </c>
      <c r="B55" s="349" t="s">
        <v>358</v>
      </c>
      <c r="C55" s="392">
        <f>+'10. NGVK'!C55+'9. EFMK'!C55+'8.Szivárvány'!C55+'7. Pitypang'!C55+'6.MosolyvárBölcs'!C55+'5. BBölcs'!C55+'4. PMH'!C55+'11. BEK'!C55</f>
        <v>0</v>
      </c>
      <c r="D55" s="918">
        <f>+'10. NGVK'!D55+'9. EFMK'!D55+'8.Szivárvány'!D55+'7. Pitypang'!D55+'6.MosolyvárBölcs'!D55+'5. BBölcs'!D55+'4. PMH'!D55+'11. BEK'!D55</f>
        <v>0</v>
      </c>
      <c r="E55" s="938">
        <f>+'10. NGVK'!E55+'9. EFMK'!E55+'8.Szivárvány'!E55+'7. Pitypang'!E55+'6.MosolyvárBölcs'!E55+'5. BBölcs'!E55+'4. PMH'!E55+'11. BEK'!E55</f>
        <v>0</v>
      </c>
      <c r="F55" s="392">
        <f>+'10. NGVK'!F55+'9. EFMK'!F55+'8.Szivárvány'!F55+'7. Pitypang'!F55+'6.MosolyvárBölcs'!F55+'5. BBölcs'!F55+'4. PMH'!F55+'11. BEK'!F55</f>
        <v>0</v>
      </c>
      <c r="G55" s="392">
        <f>+'10. NGVK'!G55+'9. EFMK'!G55+'8.Szivárvány'!G55+'7. Pitypang'!G55+'6.MosolyvárBölcs'!G55+'5. BBölcs'!G55+'4. PMH'!G55+'11. BEK'!G55</f>
        <v>0</v>
      </c>
      <c r="H55" s="918">
        <f>+'10. NGVK'!H55+'9. EFMK'!H55+'8.Szivárvány'!H55+'7. Pitypang'!H55+'6.MosolyvárBölcs'!H55+'5. BBölcs'!H55+'4. PMH'!H55+'11. BEK'!H55</f>
        <v>0</v>
      </c>
      <c r="I55" s="938">
        <f>+'10. NGVK'!I55+'9. EFMK'!I55+'8.Szivárvány'!I55+'7. Pitypang'!I55+'6.MosolyvárBölcs'!I55+'5. BBölcs'!I55+'4. PMH'!I55+'11. BEK'!I55</f>
        <v>0</v>
      </c>
      <c r="J55" s="392">
        <f>+'10. NGVK'!J55+'9. EFMK'!J55+'8.Szivárvány'!J55+'7. Pitypang'!J55+'6.MosolyvárBölcs'!J55+'5. BBölcs'!J55+'4. PMH'!J55+'11. BEK'!J55</f>
        <v>0</v>
      </c>
      <c r="K55" s="392">
        <f>+'10. NGVK'!K55+'9. EFMK'!K55+'8.Szivárvány'!K55+'7. Pitypang'!K55+'6.MosolyvárBölcs'!K55+'5. BBölcs'!K55+'4. PMH'!K55+'11. BEK'!K55</f>
        <v>0</v>
      </c>
      <c r="L55" s="926">
        <f>+'10. NGVK'!L55+'9. EFMK'!L55+'8.Szivárvány'!L55+'7. Pitypang'!L55+'6.MosolyvárBölcs'!L55+'5. BBölcs'!L55+'4. PMH'!L55+'11. BEK'!L55</f>
        <v>0</v>
      </c>
      <c r="M55" s="392">
        <f>+'10. NGVK'!M55+'9. EFMK'!M55+'8.Szivárvány'!M55+'7. Pitypang'!M55+'6.MosolyvárBölcs'!M55+'5. BBölcs'!M55+'4. PMH'!M55+'11. BEK'!M55</f>
        <v>0</v>
      </c>
      <c r="N55" s="918">
        <f>+'10. NGVK'!N55+'9. EFMK'!N55+'8.Szivárvány'!N55+'7. Pitypang'!N55+'6.MosolyvárBölcs'!N55+'5. BBölcs'!N55+'4. PMH'!N55+'11. BEK'!N55</f>
        <v>0</v>
      </c>
      <c r="O55" s="926">
        <f>+'10. NGVK'!O55+'9. EFMK'!O55+'8.Szivárvány'!O55+'7. Pitypang'!O55+'6.MosolyvárBölcs'!O55+'5. BBölcs'!O55+'4. PMH'!O55+'11. BEK'!O55</f>
        <v>0</v>
      </c>
    </row>
    <row r="56" spans="1:16" x14ac:dyDescent="0.25">
      <c r="A56" s="425" t="s">
        <v>15</v>
      </c>
      <c r="B56" s="349" t="s">
        <v>359</v>
      </c>
      <c r="C56" s="392">
        <f>+'10. NGVK'!C56+'9. EFMK'!C56+'8.Szivárvány'!C56+'7. Pitypang'!C56+'6.MosolyvárBölcs'!C56+'5. BBölcs'!C56+'4. PMH'!C56+'11. BEK'!C56</f>
        <v>0</v>
      </c>
      <c r="D56" s="918">
        <f>+'10. NGVK'!D56+'9. EFMK'!D56+'8.Szivárvány'!D56+'7. Pitypang'!D56+'6.MosolyvárBölcs'!D56+'5. BBölcs'!D56+'4. PMH'!D56+'11. BEK'!D56</f>
        <v>0</v>
      </c>
      <c r="E56" s="938">
        <f>+'10. NGVK'!E56+'9. EFMK'!E56+'8.Szivárvány'!E56+'7. Pitypang'!E56+'6.MosolyvárBölcs'!E56+'5. BBölcs'!E56+'4. PMH'!E56+'11. BEK'!E56</f>
        <v>0</v>
      </c>
      <c r="F56" s="392"/>
      <c r="G56" s="392">
        <f>+'10. NGVK'!G56+'9. EFMK'!G56+'8.Szivárvány'!G56+'7. Pitypang'!G56+'6.MosolyvárBölcs'!G56+'5. BBölcs'!G56+'4. PMH'!G56+'11. BEK'!G56</f>
        <v>0</v>
      </c>
      <c r="H56" s="918">
        <f>+'10. NGVK'!H56+'9. EFMK'!H56+'8.Szivárvány'!H56+'7. Pitypang'!H56+'6.MosolyvárBölcs'!H56+'5. BBölcs'!H56+'4. PMH'!H56+'11. BEK'!H56</f>
        <v>0</v>
      </c>
      <c r="I56" s="938">
        <f>+'10. NGVK'!I56+'9. EFMK'!I56+'8.Szivárvány'!I56+'7. Pitypang'!I56+'6.MosolyvárBölcs'!I56+'5. BBölcs'!I56+'4. PMH'!I56+'11. BEK'!I56</f>
        <v>0</v>
      </c>
      <c r="J56" s="392"/>
      <c r="K56" s="392">
        <f>+'10. NGVK'!K56+'9. EFMK'!K56+'8.Szivárvány'!K56+'7. Pitypang'!K56+'6.MosolyvárBölcs'!K56+'5. BBölcs'!K56+'4. PMH'!K56+'11. BEK'!K56</f>
        <v>0</v>
      </c>
      <c r="L56" s="926">
        <f>+'10. NGVK'!L56+'9. EFMK'!L56+'8.Szivárvány'!L56+'7. Pitypang'!L56+'6.MosolyvárBölcs'!L56+'5. BBölcs'!L56+'4. PMH'!L56+'11. BEK'!L56</f>
        <v>0</v>
      </c>
      <c r="M56" s="392">
        <f>+'10. NGVK'!M56+'9. EFMK'!M56+'8.Szivárvány'!M56+'7. Pitypang'!M56+'6.MosolyvárBölcs'!M56+'5. BBölcs'!M56+'4. PMH'!M56+'11. BEK'!M56</f>
        <v>0</v>
      </c>
      <c r="N56" s="918">
        <f>+'10. NGVK'!N56+'9. EFMK'!N56+'8.Szivárvány'!N56+'7. Pitypang'!N56+'6.MosolyvárBölcs'!N56+'5. BBölcs'!N56+'4. PMH'!N56+'11. BEK'!N56</f>
        <v>0</v>
      </c>
      <c r="O56" s="926"/>
    </row>
    <row r="57" spans="1:16" x14ac:dyDescent="0.25">
      <c r="A57" s="425" t="s">
        <v>16</v>
      </c>
      <c r="B57" s="349" t="s">
        <v>308</v>
      </c>
      <c r="C57" s="392">
        <f>+'10. NGVK'!C57+'9. EFMK'!C57+'8.Szivárvány'!C57+'7. Pitypang'!C57+'6.MosolyvárBölcs'!C57+'5. BBölcs'!C57+'4. PMH'!C57+'11. BEK'!C57</f>
        <v>0</v>
      </c>
      <c r="D57" s="918">
        <f>+'10. NGVK'!D57+'9. EFMK'!D57+'8.Szivárvány'!D57+'7. Pitypang'!D57+'6.MosolyvárBölcs'!D57+'5. BBölcs'!D57+'4. PMH'!D57+'11. BEK'!D57</f>
        <v>0</v>
      </c>
      <c r="E57" s="938">
        <f>+'10. NGVK'!E57+'9. EFMK'!E57+'8.Szivárvány'!E57+'7. Pitypang'!E57+'6.MosolyvárBölcs'!E57+'5. BBölcs'!E57+'4. PMH'!E57+'11. BEK'!E57</f>
        <v>0</v>
      </c>
      <c r="F57" s="392">
        <f>+'10. NGVK'!F57+'9. EFMK'!F57+'8.Szivárvány'!F57+'7. Pitypang'!F57+'6.MosolyvárBölcs'!F57+'5. BBölcs'!F57+'4. PMH'!F57+'11. BEK'!F57</f>
        <v>0</v>
      </c>
      <c r="G57" s="392">
        <f>+'10. NGVK'!G57+'9. EFMK'!G57+'8.Szivárvány'!G57+'7. Pitypang'!G57+'6.MosolyvárBölcs'!G57+'5. BBölcs'!G57+'4. PMH'!G57+'11. BEK'!G57</f>
        <v>0</v>
      </c>
      <c r="H57" s="918">
        <f>+'10. NGVK'!H57+'9. EFMK'!H57+'8.Szivárvány'!H57+'7. Pitypang'!H57+'6.MosolyvárBölcs'!H57+'5. BBölcs'!H57+'4. PMH'!H57+'11. BEK'!H57</f>
        <v>0</v>
      </c>
      <c r="I57" s="938">
        <f>+'10. NGVK'!I57+'9. EFMK'!I57+'8.Szivárvány'!I57+'7. Pitypang'!I57+'6.MosolyvárBölcs'!I57+'5. BBölcs'!I57+'4. PMH'!I57+'11. BEK'!I57</f>
        <v>0</v>
      </c>
      <c r="J57" s="392">
        <f>+'10. NGVK'!J57+'9. EFMK'!J57+'8.Szivárvány'!J57+'7. Pitypang'!J57+'6.MosolyvárBölcs'!J57+'5. BBölcs'!J57+'4. PMH'!J57+'11. BEK'!J57</f>
        <v>0</v>
      </c>
      <c r="K57" s="392">
        <f>+'10. NGVK'!K57+'9. EFMK'!K57+'8.Szivárvány'!K57+'7. Pitypang'!K57+'6.MosolyvárBölcs'!K57+'5. BBölcs'!K57+'4. PMH'!K57+'11. BEK'!K57</f>
        <v>0</v>
      </c>
      <c r="L57" s="926">
        <f>+'10. NGVK'!L57+'9. EFMK'!L57+'8.Szivárvány'!L57+'7. Pitypang'!L57+'6.MosolyvárBölcs'!L57+'5. BBölcs'!L57+'4. PMH'!L57+'11. BEK'!L57</f>
        <v>0</v>
      </c>
      <c r="M57" s="392">
        <f>+'10. NGVK'!M57+'9. EFMK'!M57+'8.Szivárvány'!M57+'7. Pitypang'!M57+'6.MosolyvárBölcs'!M57+'5. BBölcs'!M57+'4. PMH'!M57+'11. BEK'!M57</f>
        <v>0</v>
      </c>
      <c r="N57" s="918">
        <f>+'10. NGVK'!N57+'9. EFMK'!N57+'8.Szivárvány'!N57+'7. Pitypang'!N57+'6.MosolyvárBölcs'!N57+'5. BBölcs'!N57+'4. PMH'!N57+'11. BEK'!N57</f>
        <v>0</v>
      </c>
      <c r="O57" s="926">
        <f>+'10. NGVK'!O57+'9. EFMK'!O57+'8.Szivárvány'!O57+'7. Pitypang'!O57+'6.MosolyvárBölcs'!O57+'5. BBölcs'!O57+'4. PMH'!O57+'11. BEK'!O57</f>
        <v>0</v>
      </c>
    </row>
    <row r="58" spans="1:16" x14ac:dyDescent="0.25">
      <c r="A58" s="425" t="s">
        <v>17</v>
      </c>
      <c r="B58" s="349" t="s">
        <v>104</v>
      </c>
      <c r="C58" s="392">
        <f>+'10. NGVK'!C58+'9. EFMK'!C58+'8.Szivárvány'!C58+'7. Pitypang'!C58+'6.MosolyvárBölcs'!C58+'5. BBölcs'!C58+'4. PMH'!C58+'11. BEK'!C58</f>
        <v>0</v>
      </c>
      <c r="D58" s="918">
        <f>+'10. NGVK'!D58+'9. EFMK'!D58+'8.Szivárvány'!D58+'7. Pitypang'!D58+'6.MosolyvárBölcs'!D58+'5. BBölcs'!D58+'4. PMH'!D58+'11. BEK'!D58</f>
        <v>0</v>
      </c>
      <c r="E58" s="938">
        <f>+'10. NGVK'!E58+'9. EFMK'!E58+'8.Szivárvány'!E58+'7. Pitypang'!E58+'6.MosolyvárBölcs'!E58+'5. BBölcs'!E58+'4. PMH'!E58+'11. BEK'!E58</f>
        <v>0</v>
      </c>
      <c r="F58" s="392">
        <f>+'10. NGVK'!F58+'9. EFMK'!F58+'8.Szivárvány'!F58+'7. Pitypang'!F58+'6.MosolyvárBölcs'!F58+'5. BBölcs'!F58+'4. PMH'!F58+'11. BEK'!F58</f>
        <v>0</v>
      </c>
      <c r="G58" s="392">
        <f>+'10. NGVK'!G58+'9. EFMK'!G58+'8.Szivárvány'!G58+'7. Pitypang'!G58+'6.MosolyvárBölcs'!G58+'5. BBölcs'!G58+'4. PMH'!G58+'11. BEK'!G58</f>
        <v>0</v>
      </c>
      <c r="H58" s="918">
        <f>+'10. NGVK'!H58+'9. EFMK'!H58+'8.Szivárvány'!H58+'7. Pitypang'!H58+'6.MosolyvárBölcs'!H58+'5. BBölcs'!H58+'4. PMH'!H58+'11. BEK'!H58</f>
        <v>0</v>
      </c>
      <c r="I58" s="938">
        <f>+'10. NGVK'!I58+'9. EFMK'!I58+'8.Szivárvány'!I58+'7. Pitypang'!I58+'6.MosolyvárBölcs'!I58+'5. BBölcs'!I58+'4. PMH'!I58+'11. BEK'!I58</f>
        <v>0</v>
      </c>
      <c r="J58" s="392">
        <f>+'10. NGVK'!J58+'9. EFMK'!J58+'8.Szivárvány'!J58+'7. Pitypang'!J58+'6.MosolyvárBölcs'!J58+'5. BBölcs'!J58+'4. PMH'!J58+'11. BEK'!J58</f>
        <v>0</v>
      </c>
      <c r="K58" s="392">
        <f>+'10. NGVK'!K58+'9. EFMK'!K58+'8.Szivárvány'!K58+'7. Pitypang'!K58+'6.MosolyvárBölcs'!K58+'5. BBölcs'!K58+'4. PMH'!K58+'11. BEK'!K58</f>
        <v>0</v>
      </c>
      <c r="L58" s="926">
        <f>+'10. NGVK'!L58+'9. EFMK'!L58+'8.Szivárvány'!L58+'7. Pitypang'!L58+'6.MosolyvárBölcs'!L58+'5. BBölcs'!L58+'4. PMH'!L58+'11. BEK'!L58</f>
        <v>0</v>
      </c>
      <c r="M58" s="392">
        <f>+'10. NGVK'!M58+'9. EFMK'!M58+'8.Szivárvány'!M58+'7. Pitypang'!M58+'6.MosolyvárBölcs'!M58+'5. BBölcs'!M58+'4. PMH'!M58+'11. BEK'!M58</f>
        <v>0</v>
      </c>
      <c r="N58" s="918">
        <f>+'10. NGVK'!N58+'9. EFMK'!N58+'8.Szivárvány'!N58+'7. Pitypang'!N58+'6.MosolyvárBölcs'!N58+'5. BBölcs'!N58+'4. PMH'!N58+'11. BEK'!N58</f>
        <v>0</v>
      </c>
      <c r="O58" s="926">
        <f>+'10. NGVK'!O58+'9. EFMK'!O58+'8.Szivárvány'!O58+'7. Pitypang'!O58+'6.MosolyvárBölcs'!O58+'5. BBölcs'!O58+'4. PMH'!O58+'11. BEK'!O58</f>
        <v>0</v>
      </c>
    </row>
    <row r="59" spans="1:16" x14ac:dyDescent="0.25">
      <c r="A59" s="425"/>
      <c r="B59" s="349" t="s">
        <v>212</v>
      </c>
      <c r="C59" s="392">
        <f>+'10. NGVK'!C59+'9. EFMK'!C59+'8.Szivárvány'!C59+'7. Pitypang'!C59+'6.MosolyvárBölcs'!C59+'5. BBölcs'!C59+'4. PMH'!C59+'11. BEK'!C59</f>
        <v>0</v>
      </c>
      <c r="D59" s="918">
        <f>+'10. NGVK'!D59+'9. EFMK'!D59+'8.Szivárvány'!D59+'7. Pitypang'!D59+'6.MosolyvárBölcs'!D59+'5. BBölcs'!D59+'4. PMH'!D59+'11. BEK'!D59</f>
        <v>0</v>
      </c>
      <c r="E59" s="938">
        <f>+'10. NGVK'!E59+'9. EFMK'!E59+'8.Szivárvány'!E59+'7. Pitypang'!E59+'6.MosolyvárBölcs'!E59+'5. BBölcs'!E59+'4. PMH'!E59+'11. BEK'!E59</f>
        <v>0</v>
      </c>
      <c r="F59" s="392">
        <f>+'10. NGVK'!F59+'9. EFMK'!F59+'8.Szivárvány'!F59+'7. Pitypang'!F59+'6.MosolyvárBölcs'!F59+'5. BBölcs'!F59+'4. PMH'!F59+'11. BEK'!F59</f>
        <v>0</v>
      </c>
      <c r="G59" s="392">
        <f>+'10. NGVK'!G59+'9. EFMK'!G59+'8.Szivárvány'!G59+'7. Pitypang'!G59+'6.MosolyvárBölcs'!G59+'5. BBölcs'!G59+'4. PMH'!G59+'11. BEK'!G59</f>
        <v>0</v>
      </c>
      <c r="H59" s="918">
        <f>+'10. NGVK'!H59+'9. EFMK'!H59+'8.Szivárvány'!H59+'7. Pitypang'!H59+'6.MosolyvárBölcs'!H59+'5. BBölcs'!H59+'4. PMH'!H59+'11. BEK'!H59</f>
        <v>0</v>
      </c>
      <c r="I59" s="938">
        <f>+'10. NGVK'!I59+'9. EFMK'!I59+'8.Szivárvány'!I59+'7. Pitypang'!I59+'6.MosolyvárBölcs'!I59+'5. BBölcs'!I59+'4. PMH'!I59+'11. BEK'!I59</f>
        <v>0</v>
      </c>
      <c r="J59" s="392">
        <f>+'10. NGVK'!J59+'9. EFMK'!J59+'8.Szivárvány'!J59+'7. Pitypang'!J59+'6.MosolyvárBölcs'!J59+'5. BBölcs'!J59+'4. PMH'!J59+'11. BEK'!J59</f>
        <v>0</v>
      </c>
      <c r="K59" s="392">
        <f>+'10. NGVK'!K59+'9. EFMK'!K59+'8.Szivárvány'!K59+'7. Pitypang'!K59+'6.MosolyvárBölcs'!K59+'5. BBölcs'!K59+'4. PMH'!K59+'11. BEK'!K59</f>
        <v>0</v>
      </c>
      <c r="L59" s="926">
        <f>+'10. NGVK'!L59+'9. EFMK'!L59+'8.Szivárvány'!L59+'7. Pitypang'!L59+'6.MosolyvárBölcs'!L59+'5. BBölcs'!L59+'4. PMH'!L59+'11. BEK'!L59</f>
        <v>0</v>
      </c>
      <c r="M59" s="392">
        <f>+'10. NGVK'!M59+'9. EFMK'!M59+'8.Szivárvány'!M59+'7. Pitypang'!M59+'6.MosolyvárBölcs'!M59+'5. BBölcs'!M59+'4. PMH'!M59+'11. BEK'!M59</f>
        <v>0</v>
      </c>
      <c r="N59" s="918">
        <f>+'10. NGVK'!N59+'9. EFMK'!N59+'8.Szivárvány'!N59+'7. Pitypang'!N59+'6.MosolyvárBölcs'!N59+'5. BBölcs'!N59+'4. PMH'!N59+'11. BEK'!N59</f>
        <v>0</v>
      </c>
      <c r="O59" s="926">
        <f>+'10. NGVK'!O59+'9. EFMK'!O59+'8.Szivárvány'!O59+'7. Pitypang'!O59+'6.MosolyvárBölcs'!O59+'5. BBölcs'!O59+'4. PMH'!O59+'11. BEK'!O59</f>
        <v>0</v>
      </c>
    </row>
    <row r="60" spans="1:16" x14ac:dyDescent="0.25">
      <c r="A60" s="434"/>
      <c r="B60" s="349" t="s">
        <v>211</v>
      </c>
      <c r="C60" s="392">
        <f>+'10. NGVK'!C60+'9. EFMK'!C60+'8.Szivárvány'!C60+'7. Pitypang'!C60+'6.MosolyvárBölcs'!C60+'5. BBölcs'!C60+'4. PMH'!C60+'11. BEK'!C60</f>
        <v>0</v>
      </c>
      <c r="D60" s="918">
        <f>+'10. NGVK'!D60+'9. EFMK'!D60+'8.Szivárvány'!D60+'7. Pitypang'!D60+'6.MosolyvárBölcs'!D60+'5. BBölcs'!D60+'4. PMH'!D60+'11. BEK'!D60</f>
        <v>0</v>
      </c>
      <c r="E60" s="938">
        <f>+'10. NGVK'!E60+'9. EFMK'!E60+'8.Szivárvány'!E60+'7. Pitypang'!E60+'6.MosolyvárBölcs'!E60+'5. BBölcs'!E60+'4. PMH'!E60+'11. BEK'!E60</f>
        <v>0</v>
      </c>
      <c r="F60" s="392"/>
      <c r="G60" s="392">
        <f>+'10. NGVK'!G60+'9. EFMK'!G60+'8.Szivárvány'!G60+'7. Pitypang'!G60+'6.MosolyvárBölcs'!G60+'5. BBölcs'!G60+'4. PMH'!G60+'11. BEK'!G60</f>
        <v>0</v>
      </c>
      <c r="H60" s="918">
        <f>+'10. NGVK'!H60+'9. EFMK'!H60+'8.Szivárvány'!H60+'7. Pitypang'!H60+'6.MosolyvárBölcs'!H60+'5. BBölcs'!H60+'4. PMH'!H60+'11. BEK'!H60</f>
        <v>0</v>
      </c>
      <c r="I60" s="938">
        <f>+'10. NGVK'!I60+'9. EFMK'!I60+'8.Szivárvány'!I60+'7. Pitypang'!I60+'6.MosolyvárBölcs'!I60+'5. BBölcs'!I60+'4. PMH'!I60+'11. BEK'!I60</f>
        <v>0</v>
      </c>
      <c r="J60" s="392"/>
      <c r="K60" s="392">
        <f>+'10. NGVK'!K60+'9. EFMK'!K60+'8.Szivárvány'!K60+'7. Pitypang'!K60+'6.MosolyvárBölcs'!K60+'5. BBölcs'!K60+'4. PMH'!K60+'11. BEK'!K60</f>
        <v>0</v>
      </c>
      <c r="L60" s="926">
        <f>+'10. NGVK'!L60+'9. EFMK'!L60+'8.Szivárvány'!L60+'7. Pitypang'!L60+'6.MosolyvárBölcs'!L60+'5. BBölcs'!L60+'4. PMH'!L60+'11. BEK'!L60</f>
        <v>0</v>
      </c>
      <c r="M60" s="392">
        <f>+'10. NGVK'!M60+'9. EFMK'!M60+'8.Szivárvány'!M60+'7. Pitypang'!M60+'6.MosolyvárBölcs'!M60+'5. BBölcs'!M60+'4. PMH'!M60+'11. BEK'!M60</f>
        <v>0</v>
      </c>
      <c r="N60" s="918">
        <f>+'10. NGVK'!N60+'9. EFMK'!N60+'8.Szivárvány'!N60+'7. Pitypang'!N60+'6.MosolyvárBölcs'!N60+'5. BBölcs'!N60+'4. PMH'!N60+'11. BEK'!N60</f>
        <v>0</v>
      </c>
      <c r="O60" s="926"/>
    </row>
    <row r="61" spans="1:16" x14ac:dyDescent="0.25">
      <c r="A61" s="425" t="s">
        <v>18</v>
      </c>
      <c r="B61" s="349" t="s">
        <v>105</v>
      </c>
      <c r="C61" s="392">
        <f>+'10. NGVK'!C61+'9. EFMK'!C61+'8.Szivárvány'!C61+'7. Pitypang'!C61+'6.MosolyvárBölcs'!C61+'5. BBölcs'!C61+'4. PMH'!C61+'11. BEK'!C61</f>
        <v>0</v>
      </c>
      <c r="D61" s="918">
        <f>+'10. NGVK'!D61+'9. EFMK'!D61+'8.Szivárvány'!D61+'7. Pitypang'!D61+'6.MosolyvárBölcs'!D61+'5. BBölcs'!D61+'4. PMH'!D61+'11. BEK'!D61</f>
        <v>0</v>
      </c>
      <c r="E61" s="938">
        <f>+'10. NGVK'!E61+'9. EFMK'!E61+'8.Szivárvány'!E61+'7. Pitypang'!E61+'6.MosolyvárBölcs'!E61+'5. BBölcs'!E61+'4. PMH'!E61+'11. BEK'!E61</f>
        <v>0</v>
      </c>
      <c r="F61" s="392">
        <f>+'10. NGVK'!F61+'9. EFMK'!F61+'8.Szivárvány'!F61+'7. Pitypang'!F61+'6.MosolyvárBölcs'!F61+'5. BBölcs'!F61+'4. PMH'!F61+'11. BEK'!F61</f>
        <v>0</v>
      </c>
      <c r="G61" s="392">
        <f>+'10. NGVK'!G61+'9. EFMK'!G61+'8.Szivárvány'!G61+'7. Pitypang'!G61+'6.MosolyvárBölcs'!G61+'5. BBölcs'!G61+'4. PMH'!G61+'11. BEK'!G61</f>
        <v>0</v>
      </c>
      <c r="H61" s="918">
        <f>+'10. NGVK'!H61+'9. EFMK'!H61+'8.Szivárvány'!H61+'7. Pitypang'!H61+'6.MosolyvárBölcs'!H61+'5. BBölcs'!H61+'4. PMH'!H61+'11. BEK'!H61</f>
        <v>0</v>
      </c>
      <c r="I61" s="938">
        <f>+'10. NGVK'!I61+'9. EFMK'!I61+'8.Szivárvány'!I61+'7. Pitypang'!I61+'6.MosolyvárBölcs'!I61+'5. BBölcs'!I61+'4. PMH'!I61+'11. BEK'!I61</f>
        <v>0</v>
      </c>
      <c r="J61" s="392">
        <f>+'10. NGVK'!J61+'9. EFMK'!J61+'8.Szivárvány'!J61+'7. Pitypang'!J61+'6.MosolyvárBölcs'!J61+'5. BBölcs'!J61+'4. PMH'!J61+'11. BEK'!J61</f>
        <v>0</v>
      </c>
      <c r="K61" s="392">
        <f>+'10. NGVK'!K61+'9. EFMK'!K61+'8.Szivárvány'!K61+'7. Pitypang'!K61+'6.MosolyvárBölcs'!K61+'5. BBölcs'!K61+'4. PMH'!K61+'11. BEK'!K61</f>
        <v>0</v>
      </c>
      <c r="L61" s="926">
        <f>+'10. NGVK'!L61+'9. EFMK'!L61+'8.Szivárvány'!L61+'7. Pitypang'!L61+'6.MosolyvárBölcs'!L61+'5. BBölcs'!L61+'4. PMH'!L61+'11. BEK'!L61</f>
        <v>0</v>
      </c>
      <c r="M61" s="392">
        <f>+'10. NGVK'!M61+'9. EFMK'!M61+'8.Szivárvány'!M61+'7. Pitypang'!M61+'6.MosolyvárBölcs'!M61+'5. BBölcs'!M61+'4. PMH'!M61+'11. BEK'!M61</f>
        <v>0</v>
      </c>
      <c r="N61" s="918">
        <f>+'10. NGVK'!N61+'9. EFMK'!N61+'8.Szivárvány'!N61+'7. Pitypang'!N61+'6.MosolyvárBölcs'!N61+'5. BBölcs'!N61+'4. PMH'!N61+'11. BEK'!N61</f>
        <v>0</v>
      </c>
      <c r="O61" s="926">
        <f>+'10. NGVK'!O61+'9. EFMK'!O61+'8.Szivárvány'!O61+'7. Pitypang'!O61+'6.MosolyvárBölcs'!O61+'5. BBölcs'!O61+'4. PMH'!O61+'11. BEK'!O61</f>
        <v>0</v>
      </c>
    </row>
    <row r="62" spans="1:16" x14ac:dyDescent="0.25">
      <c r="A62" s="396" t="s">
        <v>19</v>
      </c>
      <c r="B62" s="351" t="s">
        <v>106</v>
      </c>
      <c r="C62" s="392">
        <f>+'10. NGVK'!C62+'9. EFMK'!C62+'8.Szivárvány'!C62+'7. Pitypang'!C62+'6.MosolyvárBölcs'!C62+'5. BBölcs'!C62+'4. PMH'!C62+'11. BEK'!C62</f>
        <v>0</v>
      </c>
      <c r="D62" s="918">
        <f>+'10. NGVK'!D62+'9. EFMK'!D62+'8.Szivárvány'!D62+'7. Pitypang'!D62+'6.MosolyvárBölcs'!D62+'5. BBölcs'!D62+'4. PMH'!D62+'11. BEK'!D62</f>
        <v>0</v>
      </c>
      <c r="E62" s="938">
        <f>+'10. NGVK'!E62+'9. EFMK'!E62+'8.Szivárvány'!E62+'7. Pitypang'!E62+'6.MosolyvárBölcs'!E62+'5. BBölcs'!E62+'4. PMH'!E62+'11. BEK'!E62</f>
        <v>0</v>
      </c>
      <c r="F62" s="392">
        <f>+'10. NGVK'!F62+'9. EFMK'!F62+'8.Szivárvány'!F62+'7. Pitypang'!F62+'6.MosolyvárBölcs'!F62+'5. BBölcs'!F62+'4. PMH'!F62+'11. BEK'!F62</f>
        <v>0</v>
      </c>
      <c r="G62" s="392">
        <f>+'10. NGVK'!G62+'9. EFMK'!G62+'8.Szivárvány'!G62+'7. Pitypang'!G62+'6.MosolyvárBölcs'!G62+'5. BBölcs'!G62+'4. PMH'!G62+'11. BEK'!G62</f>
        <v>0</v>
      </c>
      <c r="H62" s="918">
        <f>+'10. NGVK'!H62+'9. EFMK'!H62+'8.Szivárvány'!H62+'7. Pitypang'!H62+'6.MosolyvárBölcs'!H62+'5. BBölcs'!H62+'4. PMH'!H62+'11. BEK'!H62</f>
        <v>0</v>
      </c>
      <c r="I62" s="938">
        <f>+'10. NGVK'!I62+'9. EFMK'!I62+'8.Szivárvány'!I62+'7. Pitypang'!I62+'6.MosolyvárBölcs'!I62+'5. BBölcs'!I62+'4. PMH'!I62+'11. BEK'!I62</f>
        <v>0</v>
      </c>
      <c r="J62" s="392">
        <f>+'10. NGVK'!J62+'9. EFMK'!J62+'8.Szivárvány'!J62+'7. Pitypang'!J62+'6.MosolyvárBölcs'!J62+'5. BBölcs'!J62+'4. PMH'!J62+'11. BEK'!J62</f>
        <v>0</v>
      </c>
      <c r="K62" s="392">
        <f>+'10. NGVK'!K62+'9. EFMK'!K62+'8.Szivárvány'!K62+'7. Pitypang'!K62+'6.MosolyvárBölcs'!K62+'5. BBölcs'!K62+'4. PMH'!K62+'11. BEK'!K62</f>
        <v>0</v>
      </c>
      <c r="L62" s="926">
        <f>+'10. NGVK'!L62+'9. EFMK'!L62+'8.Szivárvány'!L62+'7. Pitypang'!L62+'6.MosolyvárBölcs'!L62+'5. BBölcs'!L62+'4. PMH'!L62+'11. BEK'!L62</f>
        <v>0</v>
      </c>
      <c r="M62" s="392">
        <f>+'10. NGVK'!M62+'9. EFMK'!M62+'8.Szivárvány'!M62+'7. Pitypang'!M62+'6.MosolyvárBölcs'!M62+'5. BBölcs'!M62+'4. PMH'!M62+'11. BEK'!M62</f>
        <v>0</v>
      </c>
      <c r="N62" s="918">
        <f>+'10. NGVK'!N62+'9. EFMK'!N62+'8.Szivárvány'!N62+'7. Pitypang'!N62+'6.MosolyvárBölcs'!N62+'5. BBölcs'!N62+'4. PMH'!N62+'11. BEK'!N62</f>
        <v>0</v>
      </c>
      <c r="O62" s="926">
        <f>+'10. NGVK'!O62+'9. EFMK'!O62+'8.Szivárvány'!O62+'7. Pitypang'!O62+'6.MosolyvárBölcs'!O62+'5. BBölcs'!O62+'4. PMH'!O62+'11. BEK'!O62</f>
        <v>0</v>
      </c>
    </row>
    <row r="63" spans="1:16" ht="21" x14ac:dyDescent="0.25">
      <c r="A63" s="613" t="s">
        <v>20</v>
      </c>
      <c r="B63" s="614" t="s">
        <v>107</v>
      </c>
      <c r="C63" s="392">
        <f>+'10. NGVK'!C63+'9. EFMK'!C63+'8.Szivárvány'!C63+'7. Pitypang'!C63+'6.MosolyvárBölcs'!C63+'5. BBölcs'!C63+'4. PMH'!C63+'11. BEK'!C63</f>
        <v>1447346000</v>
      </c>
      <c r="D63" s="918">
        <f>+'10. NGVK'!D63+'9. EFMK'!D63+'8.Szivárvány'!D63+'7. Pitypang'!D63+'6.MosolyvárBölcs'!D63+'5. BBölcs'!D63+'4. PMH'!D63+'11. BEK'!D63</f>
        <v>1449346000</v>
      </c>
      <c r="E63" s="938">
        <f>+'10. NGVK'!E63+'9. EFMK'!E63+'8.Szivárvány'!E63+'7. Pitypang'!E63+'6.MosolyvárBölcs'!E63+'5. BBölcs'!E63+'4. PMH'!E63+'11. BEK'!E63</f>
        <v>1457065288</v>
      </c>
      <c r="F63" s="392">
        <f>+'10. NGVK'!F63+'9. EFMK'!F63+'8.Szivárvány'!F63+'7. Pitypang'!F63+'6.MosolyvárBölcs'!F63+'5. BBölcs'!F63+'4. PMH'!F63+'11. BEK'!F63</f>
        <v>0</v>
      </c>
      <c r="G63" s="392">
        <f>+'10. NGVK'!G63+'9. EFMK'!G63+'8.Szivárvány'!G63+'7. Pitypang'!G63+'6.MosolyvárBölcs'!G63+'5. BBölcs'!G63+'4. PMH'!G63+'11. BEK'!G63</f>
        <v>0</v>
      </c>
      <c r="H63" s="918">
        <f>+'10. NGVK'!H63+'9. EFMK'!H63+'8.Szivárvány'!H63+'7. Pitypang'!H63+'6.MosolyvárBölcs'!H63+'5. BBölcs'!H63+'4. PMH'!H63+'11. BEK'!H63</f>
        <v>0</v>
      </c>
      <c r="I63" s="938">
        <f>+'10. NGVK'!I63+'9. EFMK'!I63+'8.Szivárvány'!I63+'7. Pitypang'!I63+'6.MosolyvárBölcs'!I63+'5. BBölcs'!I63+'4. PMH'!I63+'11. BEK'!I63</f>
        <v>0</v>
      </c>
      <c r="J63" s="392">
        <f>+'10. NGVK'!J63+'9. EFMK'!J63+'8.Szivárvány'!J63+'7. Pitypang'!J63+'6.MosolyvárBölcs'!J63+'5. BBölcs'!J63+'4. PMH'!J63+'11. BEK'!J63</f>
        <v>0</v>
      </c>
      <c r="K63" s="392">
        <f>+'10. NGVK'!K63+'9. EFMK'!K63+'8.Szivárvány'!K63+'7. Pitypang'!K63+'6.MosolyvárBölcs'!K63+'5. BBölcs'!K63+'4. PMH'!K63+'11. BEK'!K63</f>
        <v>0</v>
      </c>
      <c r="L63" s="926">
        <f>+'10. NGVK'!L63+'9. EFMK'!L63+'8.Szivárvány'!L63+'7. Pitypang'!L63+'6.MosolyvárBölcs'!L63+'5. BBölcs'!L63+'4. PMH'!L63+'11. BEK'!L63</f>
        <v>0</v>
      </c>
      <c r="M63" s="392">
        <f>+'10. NGVK'!M63+'9. EFMK'!M63+'8.Szivárvány'!M63+'7. Pitypang'!M63+'6.MosolyvárBölcs'!M63+'5. BBölcs'!M63+'4. PMH'!M63+'11. BEK'!M63</f>
        <v>1447346000</v>
      </c>
      <c r="N63" s="918">
        <f>+'10. NGVK'!N63+'9. EFMK'!N63+'8.Szivárvány'!N63+'7. Pitypang'!N63+'6.MosolyvárBölcs'!N63+'5. BBölcs'!N63+'4. PMH'!N63+'11. BEK'!N63</f>
        <v>1449346000</v>
      </c>
      <c r="O63" s="926">
        <f>+'10. NGVK'!O63+'9. EFMK'!O63+'8.Szivárvány'!O63+'7. Pitypang'!O63+'6.MosolyvárBölcs'!O63+'5. BBölcs'!O63+'4. PMH'!O63+'11. BEK'!O63</f>
        <v>1457065288</v>
      </c>
      <c r="P63" s="392">
        <f>+O63-N63</f>
        <v>7719288</v>
      </c>
    </row>
    <row r="64" spans="1:16" x14ac:dyDescent="0.25">
      <c r="A64" s="436"/>
      <c r="B64" s="436"/>
      <c r="C64" s="436">
        <f t="shared" ref="C64:O64" si="0">+C63-C34</f>
        <v>0</v>
      </c>
      <c r="D64" s="921">
        <f t="shared" ref="D64:E64" si="1">+D63-D34</f>
        <v>0</v>
      </c>
      <c r="E64" s="941">
        <f t="shared" si="1"/>
        <v>0</v>
      </c>
      <c r="F64" s="436">
        <f t="shared" si="0"/>
        <v>0</v>
      </c>
      <c r="G64" s="436">
        <f t="shared" si="0"/>
        <v>0</v>
      </c>
      <c r="H64" s="921">
        <f t="shared" ref="H64:I64" si="2">+H63-H34</f>
        <v>0</v>
      </c>
      <c r="I64" s="941">
        <f t="shared" si="2"/>
        <v>0</v>
      </c>
      <c r="J64" s="436">
        <f t="shared" si="0"/>
        <v>0</v>
      </c>
      <c r="K64" s="436">
        <f t="shared" si="0"/>
        <v>0</v>
      </c>
      <c r="L64" s="929">
        <f t="shared" ref="L64" si="3">+L63-L34</f>
        <v>0</v>
      </c>
      <c r="M64" s="436">
        <f t="shared" si="0"/>
        <v>0</v>
      </c>
      <c r="N64" s="921">
        <f t="shared" ref="N64" si="4">+N63-N34</f>
        <v>0</v>
      </c>
      <c r="O64" s="929">
        <f t="shared" si="0"/>
        <v>0</v>
      </c>
    </row>
    <row r="65" spans="1:15" x14ac:dyDescent="0.25">
      <c r="A65" s="435"/>
      <c r="B65" s="440"/>
      <c r="C65" s="397"/>
      <c r="D65" s="922"/>
      <c r="E65" s="942"/>
      <c r="F65" s="397"/>
      <c r="G65" s="397"/>
      <c r="H65" s="922"/>
      <c r="I65" s="942"/>
      <c r="J65" s="397"/>
      <c r="K65" s="397"/>
      <c r="L65" s="930"/>
      <c r="M65" s="397"/>
      <c r="N65" s="922"/>
      <c r="O65" s="934">
        <f>+O63-O34</f>
        <v>0</v>
      </c>
    </row>
    <row r="66" spans="1:15" x14ac:dyDescent="0.25">
      <c r="A66" s="442"/>
      <c r="B66" s="440"/>
      <c r="C66" s="397"/>
      <c r="D66" s="922"/>
      <c r="E66" s="942"/>
      <c r="F66" s="397"/>
      <c r="G66" s="397"/>
      <c r="H66" s="922"/>
      <c r="I66" s="942"/>
      <c r="J66" s="397"/>
      <c r="K66" s="397"/>
      <c r="L66" s="930"/>
      <c r="M66" s="397"/>
      <c r="N66" s="922"/>
      <c r="O66" s="930"/>
    </row>
    <row r="67" spans="1:15" x14ac:dyDescent="0.25">
      <c r="A67" s="443"/>
      <c r="B67" s="445"/>
      <c r="C67" s="397"/>
      <c r="D67" s="922"/>
      <c r="E67" s="942"/>
      <c r="F67" s="397"/>
      <c r="G67" s="397"/>
      <c r="H67" s="922"/>
      <c r="I67" s="942"/>
      <c r="J67" s="397"/>
      <c r="K67" s="397"/>
      <c r="L67" s="930"/>
      <c r="M67" s="397"/>
      <c r="N67" s="922"/>
      <c r="O67" s="930"/>
    </row>
    <row r="68" spans="1:15" x14ac:dyDescent="0.25">
      <c r="A68" s="443"/>
      <c r="B68" s="448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2">
    <mergeCell ref="A2:O2"/>
    <mergeCell ref="L1:O1"/>
  </mergeCells>
  <printOptions horizontalCentered="1"/>
  <pageMargins left="0.26" right="0.17" top="0.38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EI193"/>
  <sheetViews>
    <sheetView view="pageBreakPreview" zoomScaleNormal="100" zoomScaleSheetLayoutView="100" workbookViewId="0">
      <pane ySplit="4" topLeftCell="A41" activePane="bottomLeft" state="frozen"/>
      <selection activeCell="D1" sqref="D1"/>
      <selection pane="bottomLeft" activeCell="A37" sqref="A37:B37"/>
    </sheetView>
  </sheetViews>
  <sheetFormatPr defaultRowHeight="15" x14ac:dyDescent="0.25"/>
  <cols>
    <col min="1" max="1" width="5.28515625" style="380" customWidth="1"/>
    <col min="2" max="2" width="51.7109375" style="379" customWidth="1"/>
    <col min="3" max="3" width="10.5703125" style="382" customWidth="1"/>
    <col min="4" max="4" width="10.5703125" style="382" hidden="1" customWidth="1"/>
    <col min="5" max="5" width="10.5703125" style="382" customWidth="1"/>
    <col min="6" max="6" width="10.5703125" style="382" hidden="1" customWidth="1"/>
    <col min="7" max="7" width="10" style="382" customWidth="1"/>
    <col min="8" max="8" width="10.85546875" style="382" hidden="1" customWidth="1"/>
    <col min="9" max="9" width="10" style="382" customWidth="1"/>
    <col min="10" max="11" width="11.28515625" style="382" customWidth="1"/>
    <col min="12" max="12" width="8.85546875" style="382" customWidth="1"/>
    <col min="13" max="13" width="10.28515625" style="382" customWidth="1"/>
    <col min="14" max="14" width="13" style="382" hidden="1" customWidth="1"/>
    <col min="15" max="15" width="13" style="382" customWidth="1"/>
    <col min="16" max="16" width="11.85546875" bestFit="1" customWidth="1"/>
    <col min="136" max="136" width="9.140625" style="382"/>
    <col min="137" max="137" width="10.28515625" style="382" customWidth="1"/>
  </cols>
  <sheetData>
    <row r="1" spans="1:139" s="4" customFormat="1" ht="36.75" customHeight="1" x14ac:dyDescent="0.25">
      <c r="A1" s="380"/>
      <c r="B1" s="945"/>
      <c r="C1" s="467"/>
      <c r="D1" s="467"/>
      <c r="E1" s="467"/>
      <c r="F1" s="467"/>
      <c r="G1" s="467"/>
      <c r="H1" s="467"/>
      <c r="I1" s="467"/>
      <c r="J1" s="359"/>
      <c r="K1" s="359"/>
      <c r="L1" s="1086" t="s">
        <v>657</v>
      </c>
      <c r="M1" s="1086"/>
      <c r="N1" s="1086"/>
      <c r="O1" s="1086"/>
      <c r="EF1" s="464"/>
      <c r="EG1" s="464"/>
    </row>
    <row r="2" spans="1:139" s="106" customFormat="1" ht="27" customHeight="1" x14ac:dyDescent="0.25">
      <c r="A2" s="1094" t="s">
        <v>656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EF2" s="464"/>
      <c r="EG2" s="464"/>
    </row>
    <row r="3" spans="1:139" s="106" customFormat="1" x14ac:dyDescent="0.25">
      <c r="A3" s="384"/>
      <c r="B3" s="371" t="s">
        <v>37</v>
      </c>
      <c r="C3" s="385"/>
      <c r="D3" s="385"/>
      <c r="E3" s="385"/>
      <c r="F3" s="385"/>
      <c r="G3" s="381"/>
      <c r="H3" s="381"/>
      <c r="I3" s="381"/>
      <c r="K3" s="466"/>
      <c r="L3" s="466"/>
      <c r="M3" s="420"/>
      <c r="N3" s="465"/>
      <c r="O3" s="466" t="s">
        <v>339</v>
      </c>
      <c r="EF3" s="382"/>
      <c r="EG3" s="382"/>
    </row>
    <row r="4" spans="1:139" s="756" customFormat="1" ht="64.5" customHeight="1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  <c r="EF4" s="757"/>
      <c r="EG4" s="758"/>
      <c r="EH4" s="759"/>
      <c r="EI4" s="759"/>
    </row>
    <row r="5" spans="1:139" ht="15" customHeight="1" x14ac:dyDescent="0.25">
      <c r="A5" s="387" t="s">
        <v>11</v>
      </c>
      <c r="B5" s="348" t="s">
        <v>69</v>
      </c>
      <c r="C5" s="388">
        <v>0</v>
      </c>
      <c r="D5" s="389">
        <v>0</v>
      </c>
      <c r="E5" s="388">
        <v>0</v>
      </c>
      <c r="F5" s="388"/>
      <c r="G5" s="388">
        <v>0</v>
      </c>
      <c r="H5" s="388">
        <v>0</v>
      </c>
      <c r="I5" s="388">
        <v>0</v>
      </c>
      <c r="J5" s="388">
        <v>0</v>
      </c>
      <c r="K5" s="388">
        <v>0</v>
      </c>
      <c r="L5" s="388">
        <v>0</v>
      </c>
      <c r="M5" s="390">
        <f>C5+G5+K5</f>
        <v>0</v>
      </c>
      <c r="N5" s="391">
        <f>D5+H5+L5</f>
        <v>0</v>
      </c>
      <c r="O5" s="391">
        <f>E5+I5+L5</f>
        <v>0</v>
      </c>
      <c r="EF5" s="393"/>
      <c r="EG5" s="394"/>
      <c r="EH5" s="23"/>
      <c r="EI5" s="23"/>
    </row>
    <row r="6" spans="1:139" ht="15" customHeight="1" x14ac:dyDescent="0.25">
      <c r="A6" s="387" t="s">
        <v>12</v>
      </c>
      <c r="B6" s="348" t="s">
        <v>156</v>
      </c>
      <c r="C6" s="388">
        <v>0</v>
      </c>
      <c r="D6" s="389">
        <v>0</v>
      </c>
      <c r="E6" s="388">
        <v>0</v>
      </c>
      <c r="F6" s="388"/>
      <c r="G6" s="388">
        <v>0</v>
      </c>
      <c r="H6" s="388">
        <v>0</v>
      </c>
      <c r="I6" s="388">
        <v>0</v>
      </c>
      <c r="J6" s="388">
        <v>0</v>
      </c>
      <c r="K6" s="388">
        <v>0</v>
      </c>
      <c r="L6" s="388">
        <v>0</v>
      </c>
      <c r="M6" s="390">
        <f>C6+G6+K6</f>
        <v>0</v>
      </c>
      <c r="N6" s="391">
        <f>D6+H6+L6</f>
        <v>0</v>
      </c>
      <c r="O6" s="391">
        <f>E6+I6+L6</f>
        <v>0</v>
      </c>
      <c r="EF6" s="394"/>
      <c r="EG6" s="394"/>
      <c r="EH6" s="24"/>
      <c r="EI6" s="23"/>
    </row>
    <row r="7" spans="1:139" s="106" customFormat="1" ht="15" customHeight="1" x14ac:dyDescent="0.25">
      <c r="A7" s="395" t="s">
        <v>49</v>
      </c>
      <c r="B7" s="349" t="s">
        <v>70</v>
      </c>
      <c r="C7" s="388"/>
      <c r="D7" s="389"/>
      <c r="E7" s="388"/>
      <c r="F7" s="388"/>
      <c r="G7" s="388"/>
      <c r="H7" s="388"/>
      <c r="I7" s="388"/>
      <c r="J7" s="388"/>
      <c r="K7" s="388"/>
      <c r="L7" s="388"/>
      <c r="M7" s="390"/>
      <c r="N7" s="391"/>
      <c r="O7" s="391"/>
      <c r="EF7" s="394"/>
      <c r="EG7" s="394"/>
      <c r="EH7" s="24"/>
      <c r="EI7" s="23"/>
    </row>
    <row r="8" spans="1:139" s="106" customFormat="1" ht="15" customHeight="1" x14ac:dyDescent="0.25">
      <c r="A8" s="395" t="s">
        <v>71</v>
      </c>
      <c r="B8" s="349" t="s">
        <v>363</v>
      </c>
      <c r="C8" s="388"/>
      <c r="D8" s="389"/>
      <c r="E8" s="388"/>
      <c r="F8" s="388"/>
      <c r="G8" s="388"/>
      <c r="H8" s="388"/>
      <c r="I8" s="388"/>
      <c r="J8" s="388"/>
      <c r="K8" s="388"/>
      <c r="L8" s="388"/>
      <c r="M8" s="390"/>
      <c r="N8" s="391"/>
      <c r="O8" s="391"/>
      <c r="EF8" s="394"/>
      <c r="EG8" s="394"/>
      <c r="EH8" s="24"/>
      <c r="EI8" s="23"/>
    </row>
    <row r="9" spans="1:139" s="106" customFormat="1" ht="15" customHeight="1" x14ac:dyDescent="0.25">
      <c r="A9" s="395" t="s">
        <v>72</v>
      </c>
      <c r="B9" s="349" t="s">
        <v>74</v>
      </c>
      <c r="C9" s="388"/>
      <c r="D9" s="389"/>
      <c r="E9" s="388"/>
      <c r="F9" s="388"/>
      <c r="G9" s="388"/>
      <c r="H9" s="388"/>
      <c r="I9" s="388"/>
      <c r="J9" s="388"/>
      <c r="K9" s="388"/>
      <c r="L9" s="388"/>
      <c r="M9" s="390"/>
      <c r="N9" s="391"/>
      <c r="O9" s="391"/>
      <c r="EF9" s="394"/>
      <c r="EG9" s="394"/>
      <c r="EH9" s="24"/>
      <c r="EI9" s="23"/>
    </row>
    <row r="10" spans="1:139" s="106" customFormat="1" ht="15" customHeight="1" x14ac:dyDescent="0.25">
      <c r="A10" s="395" t="s">
        <v>73</v>
      </c>
      <c r="B10" s="349" t="s">
        <v>284</v>
      </c>
      <c r="C10" s="388"/>
      <c r="D10" s="389"/>
      <c r="E10" s="388"/>
      <c r="F10" s="388"/>
      <c r="G10" s="388"/>
      <c r="H10" s="388"/>
      <c r="I10" s="388"/>
      <c r="J10" s="388"/>
      <c r="K10" s="388"/>
      <c r="L10" s="388"/>
      <c r="M10" s="390"/>
      <c r="N10" s="391"/>
      <c r="O10" s="391"/>
      <c r="EF10" s="394"/>
      <c r="EG10" s="394"/>
      <c r="EH10" s="24"/>
      <c r="EI10" s="23"/>
    </row>
    <row r="11" spans="1:139" ht="15" customHeight="1" x14ac:dyDescent="0.25">
      <c r="A11" s="387" t="s">
        <v>13</v>
      </c>
      <c r="B11" s="350" t="s">
        <v>138</v>
      </c>
      <c r="C11" s="388">
        <v>0</v>
      </c>
      <c r="D11" s="389">
        <v>0</v>
      </c>
      <c r="E11" s="388">
        <v>0</v>
      </c>
      <c r="F11" s="388"/>
      <c r="G11" s="388">
        <v>0</v>
      </c>
      <c r="H11" s="388">
        <v>0</v>
      </c>
      <c r="I11" s="388">
        <v>0</v>
      </c>
      <c r="J11" s="388">
        <v>0</v>
      </c>
      <c r="K11" s="388">
        <v>0</v>
      </c>
      <c r="L11" s="388">
        <v>0</v>
      </c>
      <c r="M11" s="390">
        <f>C11+G11+K11</f>
        <v>0</v>
      </c>
      <c r="N11" s="391">
        <f>D11+H11+L11</f>
        <v>0</v>
      </c>
      <c r="O11" s="391">
        <f>E11+I11+L11</f>
        <v>0</v>
      </c>
      <c r="EF11" s="394"/>
      <c r="EG11" s="394"/>
      <c r="EH11" s="24"/>
      <c r="EI11" s="23"/>
    </row>
    <row r="12" spans="1:139" ht="15" customHeight="1" x14ac:dyDescent="0.25">
      <c r="A12" s="387" t="s">
        <v>14</v>
      </c>
      <c r="B12" s="350" t="s">
        <v>75</v>
      </c>
      <c r="C12" s="388">
        <v>0</v>
      </c>
      <c r="D12" s="389">
        <v>0</v>
      </c>
      <c r="E12" s="388">
        <v>0</v>
      </c>
      <c r="F12" s="388"/>
      <c r="G12" s="388">
        <v>0</v>
      </c>
      <c r="H12" s="388">
        <v>0</v>
      </c>
      <c r="I12" s="388">
        <v>0</v>
      </c>
      <c r="J12" s="388">
        <v>0</v>
      </c>
      <c r="K12" s="388">
        <v>0</v>
      </c>
      <c r="L12" s="388">
        <v>0</v>
      </c>
      <c r="M12" s="390">
        <f>C12+G12+K12</f>
        <v>0</v>
      </c>
      <c r="N12" s="391">
        <f>D12+H12+L12</f>
        <v>0</v>
      </c>
      <c r="O12" s="391">
        <f>E12+I12+L12</f>
        <v>0</v>
      </c>
      <c r="EF12" s="394"/>
      <c r="EG12" s="394"/>
      <c r="EH12" s="24"/>
      <c r="EI12" s="23"/>
    </row>
    <row r="13" spans="1:139" s="106" customFormat="1" ht="15" customHeight="1" x14ac:dyDescent="0.25">
      <c r="A13" s="395" t="s">
        <v>430</v>
      </c>
      <c r="B13" s="349" t="s">
        <v>418</v>
      </c>
      <c r="C13" s="388"/>
      <c r="D13" s="389"/>
      <c r="E13" s="388"/>
      <c r="F13" s="388"/>
      <c r="G13" s="388"/>
      <c r="H13" s="388"/>
      <c r="I13" s="388"/>
      <c r="J13" s="388"/>
      <c r="K13" s="388"/>
      <c r="L13" s="388"/>
      <c r="M13" s="390"/>
      <c r="N13" s="391"/>
      <c r="O13" s="391"/>
      <c r="EF13" s="394"/>
      <c r="EG13" s="394"/>
      <c r="EH13" s="24"/>
      <c r="EI13" s="23"/>
    </row>
    <row r="14" spans="1:139" s="106" customFormat="1" ht="15" customHeight="1" x14ac:dyDescent="0.25">
      <c r="A14" s="395" t="s">
        <v>431</v>
      </c>
      <c r="B14" s="349" t="s">
        <v>419</v>
      </c>
      <c r="C14" s="388"/>
      <c r="D14" s="389"/>
      <c r="E14" s="388"/>
      <c r="F14" s="388"/>
      <c r="G14" s="388"/>
      <c r="H14" s="388"/>
      <c r="I14" s="388"/>
      <c r="J14" s="388"/>
      <c r="K14" s="388"/>
      <c r="L14" s="388"/>
      <c r="M14" s="390"/>
      <c r="N14" s="391"/>
      <c r="O14" s="391"/>
      <c r="EF14" s="394"/>
      <c r="EG14" s="394"/>
      <c r="EH14" s="24"/>
      <c r="EI14" s="23"/>
    </row>
    <row r="15" spans="1:139" s="106" customFormat="1" ht="15" customHeight="1" x14ac:dyDescent="0.25">
      <c r="A15" s="395" t="s">
        <v>432</v>
      </c>
      <c r="B15" s="349" t="s">
        <v>417</v>
      </c>
      <c r="C15" s="388"/>
      <c r="D15" s="389"/>
      <c r="E15" s="388"/>
      <c r="F15" s="388"/>
      <c r="G15" s="388"/>
      <c r="H15" s="388"/>
      <c r="I15" s="388"/>
      <c r="J15" s="388"/>
      <c r="K15" s="388"/>
      <c r="L15" s="388"/>
      <c r="M15" s="390"/>
      <c r="N15" s="391"/>
      <c r="O15" s="391"/>
      <c r="EF15" s="394"/>
      <c r="EG15" s="394"/>
      <c r="EH15" s="24"/>
      <c r="EI15" s="23"/>
    </row>
    <row r="16" spans="1:139" s="106" customFormat="1" ht="15" customHeight="1" x14ac:dyDescent="0.25">
      <c r="A16" s="395" t="s">
        <v>433</v>
      </c>
      <c r="B16" s="349" t="s">
        <v>427</v>
      </c>
      <c r="C16" s="388"/>
      <c r="D16" s="389"/>
      <c r="E16" s="388"/>
      <c r="F16" s="388"/>
      <c r="G16" s="388"/>
      <c r="H16" s="388"/>
      <c r="I16" s="388"/>
      <c r="J16" s="388"/>
      <c r="K16" s="388"/>
      <c r="L16" s="388"/>
      <c r="M16" s="390"/>
      <c r="N16" s="391"/>
      <c r="O16" s="391"/>
      <c r="EF16" s="394"/>
      <c r="EG16" s="394"/>
      <c r="EH16" s="24"/>
      <c r="EI16" s="23"/>
    </row>
    <row r="17" spans="1:139" s="106" customFormat="1" ht="15" customHeight="1" x14ac:dyDescent="0.25">
      <c r="A17" s="395" t="s">
        <v>434</v>
      </c>
      <c r="B17" s="349" t="s">
        <v>426</v>
      </c>
      <c r="C17" s="388"/>
      <c r="D17" s="389"/>
      <c r="E17" s="388"/>
      <c r="F17" s="388"/>
      <c r="G17" s="388"/>
      <c r="H17" s="388"/>
      <c r="I17" s="388"/>
      <c r="J17" s="388"/>
      <c r="K17" s="388"/>
      <c r="L17" s="388"/>
      <c r="M17" s="390"/>
      <c r="N17" s="391"/>
      <c r="O17" s="391"/>
      <c r="EF17" s="394"/>
      <c r="EG17" s="394"/>
      <c r="EH17" s="24"/>
      <c r="EI17" s="23"/>
    </row>
    <row r="18" spans="1:139" s="106" customFormat="1" ht="15" customHeight="1" x14ac:dyDescent="0.25">
      <c r="A18" s="395" t="s">
        <v>435</v>
      </c>
      <c r="B18" s="349" t="s">
        <v>428</v>
      </c>
      <c r="C18" s="388"/>
      <c r="D18" s="389"/>
      <c r="E18" s="388"/>
      <c r="F18" s="388"/>
      <c r="G18" s="388"/>
      <c r="H18" s="388"/>
      <c r="I18" s="388"/>
      <c r="J18" s="388"/>
      <c r="K18" s="388"/>
      <c r="L18" s="388"/>
      <c r="M18" s="390"/>
      <c r="N18" s="391"/>
      <c r="O18" s="391"/>
      <c r="EF18" s="394"/>
      <c r="EG18" s="394"/>
      <c r="EH18" s="24"/>
      <c r="EI18" s="23"/>
    </row>
    <row r="19" spans="1:139" ht="15" customHeight="1" x14ac:dyDescent="0.25">
      <c r="A19" s="387" t="s">
        <v>15</v>
      </c>
      <c r="B19" s="350" t="s">
        <v>76</v>
      </c>
      <c r="C19" s="388">
        <v>5687000</v>
      </c>
      <c r="D19" s="389">
        <f>+C19</f>
        <v>5687000</v>
      </c>
      <c r="E19" s="388">
        <f>+D19</f>
        <v>5687000</v>
      </c>
      <c r="F19" s="388"/>
      <c r="G19" s="388">
        <v>0</v>
      </c>
      <c r="H19" s="388">
        <v>0</v>
      </c>
      <c r="I19" s="388">
        <v>0</v>
      </c>
      <c r="J19" s="388">
        <v>0</v>
      </c>
      <c r="K19" s="388">
        <v>0</v>
      </c>
      <c r="L19" s="388">
        <v>0</v>
      </c>
      <c r="M19" s="390">
        <f t="shared" ref="M19:N24" si="0">C19+G19+K19</f>
        <v>5687000</v>
      </c>
      <c r="N19" s="391">
        <f t="shared" si="0"/>
        <v>5687000</v>
      </c>
      <c r="O19" s="391">
        <f t="shared" ref="O19:O24" si="1">E19+I19+L19</f>
        <v>5687000</v>
      </c>
      <c r="EF19" s="394"/>
      <c r="EG19" s="394"/>
      <c r="EH19" s="27"/>
      <c r="EI19" s="27"/>
    </row>
    <row r="20" spans="1:139" ht="15" customHeight="1" x14ac:dyDescent="0.25">
      <c r="A20" s="387" t="s">
        <v>16</v>
      </c>
      <c r="B20" s="350" t="s">
        <v>77</v>
      </c>
      <c r="C20" s="388">
        <v>0</v>
      </c>
      <c r="D20" s="389">
        <v>0</v>
      </c>
      <c r="E20" s="388">
        <v>0</v>
      </c>
      <c r="F20" s="388"/>
      <c r="G20" s="388">
        <v>0</v>
      </c>
      <c r="H20" s="388">
        <v>0</v>
      </c>
      <c r="I20" s="388">
        <v>0</v>
      </c>
      <c r="J20" s="388">
        <v>0</v>
      </c>
      <c r="K20" s="388">
        <v>0</v>
      </c>
      <c r="L20" s="388">
        <v>0</v>
      </c>
      <c r="M20" s="390">
        <f t="shared" si="0"/>
        <v>0</v>
      </c>
      <c r="N20" s="391">
        <f t="shared" si="0"/>
        <v>0</v>
      </c>
      <c r="O20" s="391">
        <f t="shared" si="1"/>
        <v>0</v>
      </c>
      <c r="EF20" s="394"/>
      <c r="EG20" s="394"/>
      <c r="EH20" s="27"/>
      <c r="EI20" s="27"/>
    </row>
    <row r="21" spans="1:139" ht="15" customHeight="1" x14ac:dyDescent="0.25">
      <c r="A21" s="387" t="s">
        <v>17</v>
      </c>
      <c r="B21" s="350" t="s">
        <v>78</v>
      </c>
      <c r="C21" s="388">
        <v>0</v>
      </c>
      <c r="D21" s="389">
        <v>0</v>
      </c>
      <c r="E21" s="388">
        <v>0</v>
      </c>
      <c r="F21" s="388"/>
      <c r="G21" s="388">
        <v>0</v>
      </c>
      <c r="H21" s="388">
        <v>0</v>
      </c>
      <c r="I21" s="388">
        <v>0</v>
      </c>
      <c r="J21" s="388">
        <v>0</v>
      </c>
      <c r="K21" s="388">
        <v>0</v>
      </c>
      <c r="L21" s="388">
        <v>0</v>
      </c>
      <c r="M21" s="390">
        <f t="shared" si="0"/>
        <v>0</v>
      </c>
      <c r="N21" s="391">
        <f t="shared" si="0"/>
        <v>0</v>
      </c>
      <c r="O21" s="391">
        <f t="shared" si="1"/>
        <v>0</v>
      </c>
      <c r="EF21" s="394"/>
      <c r="EG21" s="394"/>
      <c r="EH21" s="27"/>
      <c r="EI21" s="27"/>
    </row>
    <row r="22" spans="1:139" ht="15" customHeight="1" x14ac:dyDescent="0.25">
      <c r="A22" s="387" t="s">
        <v>18</v>
      </c>
      <c r="B22" s="350" t="s">
        <v>79</v>
      </c>
      <c r="C22" s="388">
        <v>0</v>
      </c>
      <c r="D22" s="389">
        <v>0</v>
      </c>
      <c r="E22" s="388">
        <v>0</v>
      </c>
      <c r="F22" s="388"/>
      <c r="G22" s="388">
        <v>0</v>
      </c>
      <c r="H22" s="388">
        <v>0</v>
      </c>
      <c r="I22" s="388">
        <v>0</v>
      </c>
      <c r="J22" s="388">
        <v>0</v>
      </c>
      <c r="K22" s="388">
        <v>0</v>
      </c>
      <c r="L22" s="388">
        <v>0</v>
      </c>
      <c r="M22" s="390">
        <f t="shared" si="0"/>
        <v>0</v>
      </c>
      <c r="N22" s="391">
        <f t="shared" si="0"/>
        <v>0</v>
      </c>
      <c r="O22" s="391">
        <f t="shared" si="1"/>
        <v>0</v>
      </c>
      <c r="EF22" s="394"/>
      <c r="EG22" s="394"/>
      <c r="EH22" s="27"/>
      <c r="EI22" s="27"/>
    </row>
    <row r="23" spans="1:139" ht="15" customHeight="1" x14ac:dyDescent="0.25">
      <c r="A23" s="396" t="s">
        <v>19</v>
      </c>
      <c r="B23" s="351" t="s">
        <v>80</v>
      </c>
      <c r="C23" s="388">
        <f>C5+C6+C11+C12+C19+C20+C21+C22</f>
        <v>5687000</v>
      </c>
      <c r="D23" s="389">
        <f>D5+D6+D11+D12+D19+D20+D21+D22</f>
        <v>5687000</v>
      </c>
      <c r="E23" s="388">
        <f>E5+E6+E11+E12+E19+E20+E21+E22</f>
        <v>5687000</v>
      </c>
      <c r="F23" s="388"/>
      <c r="G23" s="388">
        <v>0</v>
      </c>
      <c r="H23" s="388">
        <v>0</v>
      </c>
      <c r="I23" s="388">
        <v>0</v>
      </c>
      <c r="J23" s="388">
        <f>J5+J6+J11+J12+J19+J20+J21+J22</f>
        <v>0</v>
      </c>
      <c r="K23" s="388">
        <f>K5+K6+K11+K12+K19+K20+K21+K22</f>
        <v>0</v>
      </c>
      <c r="L23" s="388">
        <f>L5+L6+L11+L12+L19+L20+L21+L22</f>
        <v>0</v>
      </c>
      <c r="M23" s="390">
        <f t="shared" si="0"/>
        <v>5687000</v>
      </c>
      <c r="N23" s="391">
        <f t="shared" si="0"/>
        <v>5687000</v>
      </c>
      <c r="O23" s="391">
        <f t="shared" si="1"/>
        <v>5687000</v>
      </c>
      <c r="EF23" s="394"/>
      <c r="EG23" s="394"/>
      <c r="EH23" s="27"/>
      <c r="EI23" s="27"/>
    </row>
    <row r="24" spans="1:139" ht="15" customHeight="1" x14ac:dyDescent="0.25">
      <c r="A24" s="395" t="s">
        <v>20</v>
      </c>
      <c r="B24" s="349" t="s">
        <v>356</v>
      </c>
      <c r="C24" s="388">
        <v>0</v>
      </c>
      <c r="D24" s="389">
        <v>0</v>
      </c>
      <c r="E24" s="388">
        <v>0</v>
      </c>
      <c r="F24" s="388"/>
      <c r="G24" s="388">
        <v>0</v>
      </c>
      <c r="H24" s="388">
        <v>0</v>
      </c>
      <c r="I24" s="388">
        <v>0</v>
      </c>
      <c r="J24" s="388">
        <v>0</v>
      </c>
      <c r="K24" s="388">
        <v>0</v>
      </c>
      <c r="L24" s="388">
        <v>0</v>
      </c>
      <c r="M24" s="390">
        <f t="shared" si="0"/>
        <v>0</v>
      </c>
      <c r="N24" s="391">
        <f t="shared" si="0"/>
        <v>0</v>
      </c>
      <c r="O24" s="391">
        <f t="shared" si="1"/>
        <v>0</v>
      </c>
      <c r="EF24" s="394"/>
      <c r="EG24" s="394"/>
      <c r="EH24" s="27"/>
      <c r="EI24" s="27"/>
    </row>
    <row r="25" spans="1:139" s="106" customFormat="1" ht="15" customHeight="1" x14ac:dyDescent="0.25">
      <c r="A25" s="395" t="s">
        <v>21</v>
      </c>
      <c r="B25" s="349" t="s">
        <v>357</v>
      </c>
      <c r="C25" s="388"/>
      <c r="D25" s="389"/>
      <c r="E25" s="388"/>
      <c r="F25" s="388"/>
      <c r="G25" s="388"/>
      <c r="H25" s="388"/>
      <c r="I25" s="388"/>
      <c r="J25" s="388"/>
      <c r="K25" s="388"/>
      <c r="L25" s="388"/>
      <c r="M25" s="390"/>
      <c r="N25" s="391"/>
      <c r="O25" s="391"/>
      <c r="EF25" s="394"/>
      <c r="EG25" s="394"/>
      <c r="EH25" s="27"/>
      <c r="EI25" s="27"/>
    </row>
    <row r="26" spans="1:139" ht="15" customHeight="1" x14ac:dyDescent="0.25">
      <c r="A26" s="395" t="s">
        <v>21</v>
      </c>
      <c r="B26" s="349" t="s">
        <v>82</v>
      </c>
      <c r="C26" s="388">
        <v>0</v>
      </c>
      <c r="D26" s="389">
        <v>0</v>
      </c>
      <c r="E26" s="388">
        <v>0</v>
      </c>
      <c r="F26" s="388"/>
      <c r="G26" s="388">
        <v>0</v>
      </c>
      <c r="H26" s="388">
        <v>0</v>
      </c>
      <c r="I26" s="388">
        <v>0</v>
      </c>
      <c r="J26" s="388">
        <v>0</v>
      </c>
      <c r="K26" s="388">
        <v>0</v>
      </c>
      <c r="L26" s="388">
        <v>0</v>
      </c>
      <c r="M26" s="390">
        <f t="shared" ref="M26:N29" si="2">C26+G26+K26</f>
        <v>0</v>
      </c>
      <c r="N26" s="391">
        <f t="shared" si="2"/>
        <v>0</v>
      </c>
      <c r="O26" s="391">
        <f>E26+I26+L26</f>
        <v>0</v>
      </c>
      <c r="EF26" s="394"/>
      <c r="EG26" s="394"/>
      <c r="EH26" s="27"/>
      <c r="EI26" s="27"/>
    </row>
    <row r="27" spans="1:139" ht="15" customHeight="1" x14ac:dyDescent="0.25">
      <c r="A27" s="387" t="s">
        <v>22</v>
      </c>
      <c r="B27" s="350" t="s">
        <v>152</v>
      </c>
      <c r="C27" s="388">
        <v>0</v>
      </c>
      <c r="D27" s="389">
        <v>0</v>
      </c>
      <c r="E27" s="388">
        <v>4691312</v>
      </c>
      <c r="F27" s="388"/>
      <c r="G27" s="388">
        <v>0</v>
      </c>
      <c r="H27" s="388">
        <v>0</v>
      </c>
      <c r="I27" s="388">
        <v>0</v>
      </c>
      <c r="J27" s="388">
        <v>0</v>
      </c>
      <c r="K27" s="388">
        <v>0</v>
      </c>
      <c r="L27" s="388">
        <v>0</v>
      </c>
      <c r="M27" s="390">
        <f t="shared" si="2"/>
        <v>0</v>
      </c>
      <c r="N27" s="391">
        <f t="shared" si="2"/>
        <v>0</v>
      </c>
      <c r="O27" s="391">
        <f>E27+I27+L27</f>
        <v>4691312</v>
      </c>
      <c r="EF27" s="394"/>
      <c r="EG27" s="394"/>
      <c r="EH27" s="27"/>
      <c r="EI27" s="27"/>
    </row>
    <row r="28" spans="1:139" ht="15" customHeight="1" x14ac:dyDescent="0.25">
      <c r="A28" s="395" t="s">
        <v>23</v>
      </c>
      <c r="B28" s="349" t="s">
        <v>83</v>
      </c>
      <c r="C28" s="388">
        <f>+C29</f>
        <v>390312000</v>
      </c>
      <c r="D28" s="389">
        <f>+D29</f>
        <v>396598500</v>
      </c>
      <c r="E28" s="388">
        <f>+E29</f>
        <v>396598500</v>
      </c>
      <c r="F28" s="388"/>
      <c r="G28" s="388">
        <v>0</v>
      </c>
      <c r="H28" s="388">
        <v>0</v>
      </c>
      <c r="I28" s="388">
        <v>0</v>
      </c>
      <c r="J28" s="388">
        <v>0</v>
      </c>
      <c r="K28" s="388">
        <v>0</v>
      </c>
      <c r="L28" s="388">
        <v>0</v>
      </c>
      <c r="M28" s="390">
        <f t="shared" si="2"/>
        <v>390312000</v>
      </c>
      <c r="N28" s="391">
        <f t="shared" si="2"/>
        <v>396598500</v>
      </c>
      <c r="O28" s="391">
        <f>E28+I28+L28</f>
        <v>396598500</v>
      </c>
      <c r="EF28" s="397"/>
      <c r="EG28" s="394"/>
      <c r="EH28" s="29"/>
      <c r="EI28" s="29"/>
    </row>
    <row r="29" spans="1:139" ht="15" customHeight="1" x14ac:dyDescent="0.25">
      <c r="A29" s="395" t="s">
        <v>114</v>
      </c>
      <c r="B29" s="349" t="s">
        <v>84</v>
      </c>
      <c r="C29" s="388">
        <v>390312000</v>
      </c>
      <c r="D29" s="389">
        <v>396598500</v>
      </c>
      <c r="E29" s="388">
        <f>+D29</f>
        <v>396598500</v>
      </c>
      <c r="F29" s="388"/>
      <c r="G29" s="388">
        <v>0</v>
      </c>
      <c r="H29" s="388">
        <v>0</v>
      </c>
      <c r="I29" s="388">
        <v>0</v>
      </c>
      <c r="J29" s="388">
        <v>0</v>
      </c>
      <c r="K29" s="388">
        <v>0</v>
      </c>
      <c r="L29" s="388">
        <v>0</v>
      </c>
      <c r="M29" s="390">
        <f t="shared" si="2"/>
        <v>390312000</v>
      </c>
      <c r="N29" s="391">
        <f t="shared" si="2"/>
        <v>396598500</v>
      </c>
      <c r="O29" s="391">
        <f>E29+I29+L29</f>
        <v>396598500</v>
      </c>
      <c r="EG29" s="394"/>
    </row>
    <row r="30" spans="1:139" s="106" customFormat="1" ht="15" customHeight="1" x14ac:dyDescent="0.25">
      <c r="A30" s="395" t="s">
        <v>115</v>
      </c>
      <c r="B30" s="352" t="s">
        <v>210</v>
      </c>
      <c r="C30" s="388"/>
      <c r="D30" s="389"/>
      <c r="E30" s="388"/>
      <c r="F30" s="388"/>
      <c r="G30" s="388"/>
      <c r="H30" s="388"/>
      <c r="I30" s="388"/>
      <c r="J30" s="388"/>
      <c r="K30" s="388"/>
      <c r="L30" s="388"/>
      <c r="M30" s="390"/>
      <c r="N30" s="391"/>
      <c r="O30" s="391"/>
      <c r="EF30" s="382"/>
      <c r="EG30" s="394"/>
    </row>
    <row r="31" spans="1:139" ht="15" customHeight="1" x14ac:dyDescent="0.25">
      <c r="A31" s="395" t="s">
        <v>24</v>
      </c>
      <c r="B31" s="352" t="s">
        <v>85</v>
      </c>
      <c r="C31" s="388">
        <v>0</v>
      </c>
      <c r="D31" s="389">
        <v>0</v>
      </c>
      <c r="E31" s="388">
        <v>0</v>
      </c>
      <c r="F31" s="388"/>
      <c r="G31" s="388">
        <v>0</v>
      </c>
      <c r="H31" s="388">
        <v>0</v>
      </c>
      <c r="I31" s="388">
        <v>0</v>
      </c>
      <c r="J31" s="388">
        <v>0</v>
      </c>
      <c r="K31" s="388">
        <v>0</v>
      </c>
      <c r="L31" s="388">
        <v>0</v>
      </c>
      <c r="M31" s="390">
        <f t="shared" ref="M31:N34" si="3">C31+G31+K31</f>
        <v>0</v>
      </c>
      <c r="N31" s="391">
        <f t="shared" si="3"/>
        <v>0</v>
      </c>
      <c r="O31" s="391">
        <f>E31+I31+L31</f>
        <v>0</v>
      </c>
      <c r="EG31" s="394"/>
    </row>
    <row r="32" spans="1:139" ht="24.75" customHeight="1" x14ac:dyDescent="0.25">
      <c r="A32" s="395" t="s">
        <v>25</v>
      </c>
      <c r="B32" s="352" t="s">
        <v>86</v>
      </c>
      <c r="C32" s="388">
        <v>0</v>
      </c>
      <c r="D32" s="389">
        <v>0</v>
      </c>
      <c r="E32" s="388">
        <v>0</v>
      </c>
      <c r="F32" s="388"/>
      <c r="G32" s="388">
        <v>0</v>
      </c>
      <c r="H32" s="388">
        <v>0</v>
      </c>
      <c r="I32" s="388">
        <v>0</v>
      </c>
      <c r="J32" s="388">
        <v>0</v>
      </c>
      <c r="K32" s="388">
        <v>0</v>
      </c>
      <c r="L32" s="388">
        <v>0</v>
      </c>
      <c r="M32" s="390">
        <f t="shared" si="3"/>
        <v>0</v>
      </c>
      <c r="N32" s="391">
        <f t="shared" si="3"/>
        <v>0</v>
      </c>
      <c r="O32" s="391">
        <f>E32+I32+L32</f>
        <v>0</v>
      </c>
      <c r="EG32" s="394"/>
    </row>
    <row r="33" spans="1:139" ht="15" customHeight="1" x14ac:dyDescent="0.25">
      <c r="A33" s="396" t="s">
        <v>26</v>
      </c>
      <c r="B33" s="351" t="s">
        <v>87</v>
      </c>
      <c r="C33" s="388">
        <f>C24+C26+C27+C28+C31+C32</f>
        <v>390312000</v>
      </c>
      <c r="D33" s="389">
        <f>D24+D26+D27+D28+D31+D32</f>
        <v>396598500</v>
      </c>
      <c r="E33" s="388">
        <f>E24+E26+E27+E28+E31+E32</f>
        <v>401289812</v>
      </c>
      <c r="F33" s="388"/>
      <c r="G33" s="388">
        <f t="shared" ref="G33:L33" si="4">G24+G26+G27+G28+G31+G32</f>
        <v>0</v>
      </c>
      <c r="H33" s="388">
        <f t="shared" si="4"/>
        <v>0</v>
      </c>
      <c r="I33" s="388">
        <f t="shared" si="4"/>
        <v>0</v>
      </c>
      <c r="J33" s="388">
        <f t="shared" si="4"/>
        <v>0</v>
      </c>
      <c r="K33" s="388">
        <f t="shared" si="4"/>
        <v>0</v>
      </c>
      <c r="L33" s="388">
        <f t="shared" si="4"/>
        <v>0</v>
      </c>
      <c r="M33" s="390">
        <f t="shared" si="3"/>
        <v>390312000</v>
      </c>
      <c r="N33" s="391">
        <f t="shared" si="3"/>
        <v>396598500</v>
      </c>
      <c r="O33" s="391">
        <f>E33+I33+L33</f>
        <v>401289812</v>
      </c>
      <c r="EG33" s="394"/>
    </row>
    <row r="34" spans="1:139" ht="15.75" customHeight="1" x14ac:dyDescent="0.25">
      <c r="A34" s="398" t="s">
        <v>27</v>
      </c>
      <c r="B34" s="353" t="s">
        <v>88</v>
      </c>
      <c r="C34" s="399">
        <f>C23+C33</f>
        <v>395999000</v>
      </c>
      <c r="D34" s="400">
        <f>D23+D33</f>
        <v>402285500</v>
      </c>
      <c r="E34" s="399">
        <f>E23+E33</f>
        <v>406976812</v>
      </c>
      <c r="F34" s="399"/>
      <c r="G34" s="399">
        <f t="shared" ref="G34:L34" si="5">G23+G33</f>
        <v>0</v>
      </c>
      <c r="H34" s="399">
        <f t="shared" si="5"/>
        <v>0</v>
      </c>
      <c r="I34" s="399">
        <f t="shared" si="5"/>
        <v>0</v>
      </c>
      <c r="J34" s="399">
        <f t="shared" si="5"/>
        <v>0</v>
      </c>
      <c r="K34" s="399">
        <f t="shared" si="5"/>
        <v>0</v>
      </c>
      <c r="L34" s="399">
        <f t="shared" si="5"/>
        <v>0</v>
      </c>
      <c r="M34" s="401">
        <f t="shared" si="3"/>
        <v>395999000</v>
      </c>
      <c r="N34" s="402">
        <f t="shared" si="3"/>
        <v>402285500</v>
      </c>
      <c r="O34" s="402">
        <f>E34+I34+L34</f>
        <v>406976812</v>
      </c>
      <c r="EG34" s="394"/>
    </row>
    <row r="35" spans="1:139" s="78" customFormat="1" ht="15" customHeight="1" x14ac:dyDescent="0.25">
      <c r="A35" s="403"/>
      <c r="B35" s="362"/>
      <c r="C35" s="404"/>
      <c r="D35" s="405"/>
      <c r="E35" s="404"/>
      <c r="F35" s="404"/>
      <c r="G35" s="404"/>
      <c r="H35" s="404"/>
      <c r="I35" s="404"/>
      <c r="J35" s="404"/>
      <c r="K35" s="404"/>
      <c r="L35" s="404"/>
      <c r="M35" s="406"/>
      <c r="N35" s="407"/>
      <c r="O35" s="407"/>
      <c r="EF35" s="410"/>
      <c r="EG35" s="410"/>
    </row>
    <row r="36" spans="1:139" s="354" customFormat="1" ht="22.5" customHeight="1" x14ac:dyDescent="0.25">
      <c r="A36" s="411"/>
      <c r="B36" s="375" t="s">
        <v>5</v>
      </c>
      <c r="C36" s="412"/>
      <c r="D36" s="413"/>
      <c r="E36" s="412"/>
      <c r="F36" s="412"/>
      <c r="G36" s="414"/>
      <c r="H36" s="414"/>
      <c r="I36" s="414"/>
      <c r="J36" s="1095" t="s">
        <v>339</v>
      </c>
      <c r="K36" s="1095"/>
      <c r="L36" s="1095"/>
      <c r="M36" s="1096"/>
      <c r="N36" s="415"/>
      <c r="O36" s="415"/>
      <c r="EF36" s="420"/>
      <c r="EG36" s="420"/>
    </row>
    <row r="37" spans="1:139" s="760" customFormat="1" ht="64.5" customHeight="1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  <c r="EF37" s="761"/>
      <c r="EG37" s="762"/>
      <c r="EH37" s="763"/>
      <c r="EI37" s="763"/>
    </row>
    <row r="38" spans="1:139" x14ac:dyDescent="0.25">
      <c r="A38" s="421" t="s">
        <v>11</v>
      </c>
      <c r="B38" s="350" t="s">
        <v>90</v>
      </c>
      <c r="C38" s="422">
        <f>C39+C40+C41+C42+C43+C48</f>
        <v>395364000</v>
      </c>
      <c r="D38" s="423">
        <f>D39+D40+D41+D42+D43+D48</f>
        <v>401135500</v>
      </c>
      <c r="E38" s="422">
        <f>E39+E40+E41+E42+E43+E48</f>
        <v>403826812</v>
      </c>
      <c r="F38" s="422"/>
      <c r="G38" s="422">
        <v>0</v>
      </c>
      <c r="H38" s="422">
        <v>0</v>
      </c>
      <c r="I38" s="422">
        <v>0</v>
      </c>
      <c r="J38" s="422">
        <f>J39+J40+J41+J42+J43+J48</f>
        <v>0</v>
      </c>
      <c r="K38" s="422"/>
      <c r="L38" s="422">
        <f>L39+L40+L41+L42+L43+L48</f>
        <v>0</v>
      </c>
      <c r="M38" s="390">
        <f t="shared" ref="M38:N43" si="6">C38+G38+K38</f>
        <v>395364000</v>
      </c>
      <c r="N38" s="391">
        <f t="shared" si="6"/>
        <v>401135500</v>
      </c>
      <c r="O38" s="391">
        <f t="shared" ref="O38:O43" si="7">E38+I38+L38</f>
        <v>403826812</v>
      </c>
      <c r="EG38" s="394"/>
    </row>
    <row r="39" spans="1:139" x14ac:dyDescent="0.25">
      <c r="A39" s="425" t="s">
        <v>53</v>
      </c>
      <c r="B39" s="349" t="s">
        <v>6</v>
      </c>
      <c r="C39" s="388">
        <v>265659000</v>
      </c>
      <c r="D39" s="389">
        <f>+C39</f>
        <v>265659000</v>
      </c>
      <c r="E39" s="388">
        <f>+D39+4691312-2000000</f>
        <v>268350312</v>
      </c>
      <c r="F39" s="388"/>
      <c r="G39" s="388">
        <v>0</v>
      </c>
      <c r="H39" s="388">
        <v>0</v>
      </c>
      <c r="I39" s="388">
        <v>0</v>
      </c>
      <c r="J39" s="388">
        <v>0</v>
      </c>
      <c r="K39" s="388"/>
      <c r="L39" s="388">
        <v>0</v>
      </c>
      <c r="M39" s="390">
        <f t="shared" si="6"/>
        <v>265659000</v>
      </c>
      <c r="N39" s="391">
        <f t="shared" si="6"/>
        <v>265659000</v>
      </c>
      <c r="O39" s="391">
        <f t="shared" si="7"/>
        <v>268350312</v>
      </c>
      <c r="EG39" s="394"/>
    </row>
    <row r="40" spans="1:139" x14ac:dyDescent="0.25">
      <c r="A40" s="425" t="s">
        <v>54</v>
      </c>
      <c r="B40" s="349" t="s">
        <v>94</v>
      </c>
      <c r="C40" s="388">
        <v>42868000</v>
      </c>
      <c r="D40" s="389">
        <f>+C40</f>
        <v>42868000</v>
      </c>
      <c r="E40" s="388">
        <f>+D40</f>
        <v>42868000</v>
      </c>
      <c r="F40" s="388"/>
      <c r="G40" s="388">
        <v>0</v>
      </c>
      <c r="H40" s="388">
        <v>0</v>
      </c>
      <c r="I40" s="388">
        <v>0</v>
      </c>
      <c r="J40" s="388">
        <v>0</v>
      </c>
      <c r="K40" s="388"/>
      <c r="L40" s="388">
        <v>0</v>
      </c>
      <c r="M40" s="390">
        <f t="shared" si="6"/>
        <v>42868000</v>
      </c>
      <c r="N40" s="391">
        <f t="shared" si="6"/>
        <v>42868000</v>
      </c>
      <c r="O40" s="391">
        <f t="shared" si="7"/>
        <v>42868000</v>
      </c>
      <c r="EG40" s="394"/>
    </row>
    <row r="41" spans="1:139" x14ac:dyDescent="0.25">
      <c r="A41" s="425" t="s">
        <v>55</v>
      </c>
      <c r="B41" s="349" t="s">
        <v>95</v>
      </c>
      <c r="C41" s="388">
        <v>86837000</v>
      </c>
      <c r="D41" s="389">
        <v>92608500</v>
      </c>
      <c r="E41" s="388">
        <f>+D41</f>
        <v>92608500</v>
      </c>
      <c r="F41" s="388"/>
      <c r="G41" s="388">
        <v>0</v>
      </c>
      <c r="H41" s="388">
        <v>0</v>
      </c>
      <c r="I41" s="388">
        <v>0</v>
      </c>
      <c r="J41" s="388">
        <v>0</v>
      </c>
      <c r="K41" s="388"/>
      <c r="L41" s="388">
        <v>0</v>
      </c>
      <c r="M41" s="390">
        <f t="shared" si="6"/>
        <v>86837000</v>
      </c>
      <c r="N41" s="391">
        <f t="shared" si="6"/>
        <v>92608500</v>
      </c>
      <c r="O41" s="391">
        <f t="shared" si="7"/>
        <v>92608500</v>
      </c>
      <c r="EG41" s="394"/>
    </row>
    <row r="42" spans="1:139" x14ac:dyDescent="0.25">
      <c r="A42" s="425" t="s">
        <v>56</v>
      </c>
      <c r="B42" s="349" t="s">
        <v>96</v>
      </c>
      <c r="C42" s="388">
        <v>0</v>
      </c>
      <c r="D42" s="389">
        <v>0</v>
      </c>
      <c r="E42" s="388">
        <v>0</v>
      </c>
      <c r="F42" s="388"/>
      <c r="G42" s="388">
        <v>0</v>
      </c>
      <c r="H42" s="388">
        <v>0</v>
      </c>
      <c r="I42" s="388">
        <v>0</v>
      </c>
      <c r="J42" s="388">
        <v>0</v>
      </c>
      <c r="K42" s="388"/>
      <c r="L42" s="388">
        <v>0</v>
      </c>
      <c r="M42" s="390">
        <f t="shared" si="6"/>
        <v>0</v>
      </c>
      <c r="N42" s="391">
        <f t="shared" si="6"/>
        <v>0</v>
      </c>
      <c r="O42" s="391">
        <f t="shared" si="7"/>
        <v>0</v>
      </c>
      <c r="EG42" s="394"/>
    </row>
    <row r="43" spans="1:139" x14ac:dyDescent="0.25">
      <c r="A43" s="429" t="s">
        <v>57</v>
      </c>
      <c r="B43" s="350" t="s">
        <v>97</v>
      </c>
      <c r="C43" s="388">
        <v>0</v>
      </c>
      <c r="D43" s="373"/>
      <c r="E43" s="376"/>
      <c r="F43" s="376"/>
      <c r="G43" s="388">
        <v>0</v>
      </c>
      <c r="H43" s="388">
        <v>0</v>
      </c>
      <c r="I43" s="388">
        <v>0</v>
      </c>
      <c r="J43" s="388">
        <v>0</v>
      </c>
      <c r="K43" s="388"/>
      <c r="L43" s="388">
        <v>0</v>
      </c>
      <c r="M43" s="390">
        <f t="shared" si="6"/>
        <v>0</v>
      </c>
      <c r="N43" s="391">
        <f t="shared" si="6"/>
        <v>0</v>
      </c>
      <c r="O43" s="391">
        <f t="shared" si="7"/>
        <v>0</v>
      </c>
      <c r="EG43" s="394"/>
    </row>
    <row r="44" spans="1:139" s="106" customFormat="1" x14ac:dyDescent="0.25">
      <c r="A44" s="430" t="s">
        <v>91</v>
      </c>
      <c r="B44" s="349" t="s">
        <v>330</v>
      </c>
      <c r="C44" s="388"/>
      <c r="D44" s="373"/>
      <c r="E44" s="376"/>
      <c r="F44" s="376"/>
      <c r="G44" s="388"/>
      <c r="H44" s="388"/>
      <c r="I44" s="388"/>
      <c r="J44" s="388"/>
      <c r="K44" s="388"/>
      <c r="L44" s="388"/>
      <c r="M44" s="390"/>
      <c r="N44" s="391"/>
      <c r="O44" s="391"/>
      <c r="EF44" s="382"/>
      <c r="EG44" s="394"/>
    </row>
    <row r="45" spans="1:139" s="106" customFormat="1" x14ac:dyDescent="0.25">
      <c r="A45" s="431" t="s">
        <v>92</v>
      </c>
      <c r="B45" s="350" t="s">
        <v>421</v>
      </c>
      <c r="C45" s="388"/>
      <c r="D45" s="373"/>
      <c r="E45" s="376"/>
      <c r="F45" s="376"/>
      <c r="G45" s="388"/>
      <c r="H45" s="388"/>
      <c r="I45" s="388"/>
      <c r="J45" s="388"/>
      <c r="K45" s="388"/>
      <c r="L45" s="388"/>
      <c r="M45" s="390"/>
      <c r="N45" s="391"/>
      <c r="O45" s="391"/>
      <c r="EF45" s="382"/>
      <c r="EG45" s="394"/>
    </row>
    <row r="46" spans="1:139" s="106" customFormat="1" x14ac:dyDescent="0.25">
      <c r="A46" s="430" t="s">
        <v>329</v>
      </c>
      <c r="B46" s="349" t="s">
        <v>98</v>
      </c>
      <c r="C46" s="388"/>
      <c r="D46" s="373"/>
      <c r="E46" s="376"/>
      <c r="F46" s="376"/>
      <c r="G46" s="388"/>
      <c r="H46" s="388"/>
      <c r="I46" s="388"/>
      <c r="J46" s="388"/>
      <c r="K46" s="388"/>
      <c r="L46" s="388"/>
      <c r="M46" s="390"/>
      <c r="N46" s="391"/>
      <c r="O46" s="391"/>
      <c r="EF46" s="382"/>
      <c r="EG46" s="394"/>
    </row>
    <row r="47" spans="1:139" s="106" customFormat="1" x14ac:dyDescent="0.25">
      <c r="A47" s="430" t="s">
        <v>420</v>
      </c>
      <c r="B47" s="349" t="s">
        <v>99</v>
      </c>
      <c r="C47" s="388"/>
      <c r="D47" s="373"/>
      <c r="E47" s="376"/>
      <c r="F47" s="376"/>
      <c r="G47" s="388"/>
      <c r="H47" s="388"/>
      <c r="I47" s="388"/>
      <c r="J47" s="388"/>
      <c r="K47" s="388"/>
      <c r="L47" s="388"/>
      <c r="M47" s="390"/>
      <c r="N47" s="391"/>
      <c r="O47" s="391"/>
      <c r="EF47" s="382"/>
      <c r="EG47" s="394"/>
    </row>
    <row r="48" spans="1:139" x14ac:dyDescent="0.25">
      <c r="A48" s="431" t="s">
        <v>93</v>
      </c>
      <c r="B48" s="350" t="s">
        <v>8</v>
      </c>
      <c r="C48" s="388">
        <v>0</v>
      </c>
      <c r="D48" s="389">
        <v>0</v>
      </c>
      <c r="E48" s="388">
        <v>0</v>
      </c>
      <c r="F48" s="388"/>
      <c r="G48" s="388">
        <v>0</v>
      </c>
      <c r="H48" s="388">
        <v>0</v>
      </c>
      <c r="I48" s="388">
        <v>0</v>
      </c>
      <c r="J48" s="388">
        <v>0</v>
      </c>
      <c r="K48" s="388"/>
      <c r="L48" s="388">
        <v>0</v>
      </c>
      <c r="M48" s="390">
        <f>C48+G48+K48</f>
        <v>0</v>
      </c>
      <c r="N48" s="391">
        <f>D48+H48+L48</f>
        <v>0</v>
      </c>
      <c r="O48" s="391">
        <f>E48+I48+L48</f>
        <v>0</v>
      </c>
      <c r="EG48" s="394"/>
    </row>
    <row r="49" spans="1:137" s="106" customFormat="1" x14ac:dyDescent="0.25">
      <c r="A49" s="430"/>
      <c r="B49" s="349" t="s">
        <v>250</v>
      </c>
      <c r="C49" s="388"/>
      <c r="D49" s="389"/>
      <c r="E49" s="388"/>
      <c r="F49" s="388"/>
      <c r="G49" s="388"/>
      <c r="H49" s="388"/>
      <c r="I49" s="388"/>
      <c r="J49" s="388"/>
      <c r="K49" s="388"/>
      <c r="L49" s="388"/>
      <c r="M49" s="390"/>
      <c r="N49" s="391"/>
      <c r="O49" s="391"/>
      <c r="EF49" s="382"/>
      <c r="EG49" s="394"/>
    </row>
    <row r="50" spans="1:137" x14ac:dyDescent="0.25">
      <c r="A50" s="431" t="s">
        <v>12</v>
      </c>
      <c r="B50" s="350" t="s">
        <v>100</v>
      </c>
      <c r="C50" s="389">
        <f>C51+C52+C53</f>
        <v>635000</v>
      </c>
      <c r="D50" s="389">
        <f>D51+D52+D53</f>
        <v>1150000</v>
      </c>
      <c r="E50" s="389">
        <f>E51+E52+E53</f>
        <v>3150000</v>
      </c>
      <c r="F50" s="389"/>
      <c r="G50" s="389">
        <f>G51+G52+G53</f>
        <v>0</v>
      </c>
      <c r="H50" s="389">
        <f>H51+H52+H53</f>
        <v>0</v>
      </c>
      <c r="I50" s="389">
        <f>I51+I52+I53</f>
        <v>0</v>
      </c>
      <c r="J50" s="389">
        <f>J51+J52+J53</f>
        <v>0</v>
      </c>
      <c r="K50" s="389"/>
      <c r="L50" s="389">
        <f>L51+L52+L53</f>
        <v>0</v>
      </c>
      <c r="M50" s="391">
        <f t="shared" ref="M50:N55" si="8">C50+G50+K50</f>
        <v>635000</v>
      </c>
      <c r="N50" s="391">
        <f t="shared" si="8"/>
        <v>1150000</v>
      </c>
      <c r="O50" s="391">
        <f t="shared" ref="O50:O55" si="9">E50+I50+L50</f>
        <v>3150000</v>
      </c>
      <c r="EG50" s="394"/>
    </row>
    <row r="51" spans="1:137" x14ac:dyDescent="0.25">
      <c r="A51" s="430" t="s">
        <v>49</v>
      </c>
      <c r="B51" s="349" t="s">
        <v>9</v>
      </c>
      <c r="C51" s="389">
        <v>635000</v>
      </c>
      <c r="D51" s="389">
        <v>1150000</v>
      </c>
      <c r="E51" s="389">
        <f>+D51+2000000</f>
        <v>3150000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/>
      <c r="L51" s="389">
        <v>0</v>
      </c>
      <c r="M51" s="391">
        <f t="shared" si="8"/>
        <v>635000</v>
      </c>
      <c r="N51" s="391">
        <f t="shared" si="8"/>
        <v>1150000</v>
      </c>
      <c r="O51" s="391">
        <f t="shared" si="9"/>
        <v>3150000</v>
      </c>
      <c r="EG51" s="394"/>
    </row>
    <row r="52" spans="1:137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v>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/>
      <c r="L52" s="389">
        <v>0</v>
      </c>
      <c r="M52" s="391">
        <f t="shared" si="8"/>
        <v>0</v>
      </c>
      <c r="N52" s="391">
        <f t="shared" si="8"/>
        <v>0</v>
      </c>
      <c r="O52" s="391">
        <f t="shared" si="9"/>
        <v>0</v>
      </c>
      <c r="EG52" s="394"/>
    </row>
    <row r="53" spans="1:137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/>
      <c r="L53" s="389">
        <v>0</v>
      </c>
      <c r="M53" s="391">
        <f t="shared" si="8"/>
        <v>0</v>
      </c>
      <c r="N53" s="391">
        <f t="shared" si="8"/>
        <v>0</v>
      </c>
      <c r="O53" s="391">
        <f t="shared" si="9"/>
        <v>0</v>
      </c>
      <c r="EG53" s="394"/>
    </row>
    <row r="54" spans="1:137" x14ac:dyDescent="0.25">
      <c r="A54" s="433" t="s">
        <v>13</v>
      </c>
      <c r="B54" s="351" t="s">
        <v>102</v>
      </c>
      <c r="C54" s="389">
        <f>C38+C50</f>
        <v>395999000</v>
      </c>
      <c r="D54" s="389">
        <f>D38+D50</f>
        <v>402285500</v>
      </c>
      <c r="E54" s="389">
        <f>E38+E50</f>
        <v>406976812</v>
      </c>
      <c r="F54" s="389"/>
      <c r="G54" s="389">
        <f>G38+G50</f>
        <v>0</v>
      </c>
      <c r="H54" s="389">
        <f>H38+H50</f>
        <v>0</v>
      </c>
      <c r="I54" s="389">
        <f>I38+I50</f>
        <v>0</v>
      </c>
      <c r="J54" s="389">
        <f>J38+J50</f>
        <v>0</v>
      </c>
      <c r="K54" s="389"/>
      <c r="L54" s="389">
        <f>L38+L50</f>
        <v>0</v>
      </c>
      <c r="M54" s="391">
        <f t="shared" si="8"/>
        <v>395999000</v>
      </c>
      <c r="N54" s="391">
        <f t="shared" si="8"/>
        <v>402285500</v>
      </c>
      <c r="O54" s="391">
        <f t="shared" si="9"/>
        <v>406976812</v>
      </c>
      <c r="EG54" s="394"/>
    </row>
    <row r="55" spans="1:137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/>
      <c r="L55" s="389">
        <v>0</v>
      </c>
      <c r="M55" s="391">
        <f t="shared" si="8"/>
        <v>0</v>
      </c>
      <c r="N55" s="391">
        <f t="shared" si="8"/>
        <v>0</v>
      </c>
      <c r="O55" s="391">
        <f t="shared" si="9"/>
        <v>0</v>
      </c>
      <c r="EG55" s="394"/>
    </row>
    <row r="56" spans="1:137" s="106" customFormat="1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  <c r="EF56" s="382"/>
      <c r="EG56" s="394"/>
    </row>
    <row r="57" spans="1:137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/>
      <c r="L57" s="389">
        <v>0</v>
      </c>
      <c r="M57" s="391">
        <f t="shared" ref="M57:N59" si="10">C57+G57+K57</f>
        <v>0</v>
      </c>
      <c r="N57" s="391">
        <f t="shared" si="10"/>
        <v>0</v>
      </c>
      <c r="O57" s="391">
        <f>E57+I57+L57</f>
        <v>0</v>
      </c>
      <c r="EG57" s="394"/>
    </row>
    <row r="58" spans="1:137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/>
      <c r="L58" s="389">
        <v>0</v>
      </c>
      <c r="M58" s="391">
        <f t="shared" si="10"/>
        <v>0</v>
      </c>
      <c r="N58" s="391">
        <f t="shared" si="10"/>
        <v>0</v>
      </c>
      <c r="O58" s="391">
        <f>E58+I58+L58</f>
        <v>0</v>
      </c>
      <c r="EG58" s="394"/>
    </row>
    <row r="59" spans="1:137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/>
      <c r="L59" s="389">
        <v>0</v>
      </c>
      <c r="M59" s="391">
        <f t="shared" si="10"/>
        <v>0</v>
      </c>
      <c r="N59" s="391">
        <f t="shared" si="10"/>
        <v>0</v>
      </c>
      <c r="O59" s="391">
        <f>E59+I59+L59</f>
        <v>0</v>
      </c>
      <c r="EG59" s="394"/>
    </row>
    <row r="60" spans="1:137" s="106" customFormat="1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  <c r="EF60" s="382"/>
      <c r="EG60" s="394"/>
    </row>
    <row r="61" spans="1:137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/>
      <c r="L61" s="389">
        <v>0</v>
      </c>
      <c r="M61" s="391">
        <f t="shared" ref="M61:N63" si="11">C61+G61+K61</f>
        <v>0</v>
      </c>
      <c r="N61" s="391">
        <f t="shared" si="11"/>
        <v>0</v>
      </c>
      <c r="O61" s="391">
        <f>E61+I61+L61</f>
        <v>0</v>
      </c>
      <c r="EG61" s="394"/>
    </row>
    <row r="62" spans="1:137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>G55+G57+G58+G61</f>
        <v>0</v>
      </c>
      <c r="H62" s="389">
        <f>H55+H57+H58+H61</f>
        <v>0</v>
      </c>
      <c r="I62" s="389">
        <f>I55+I57+I58+I61</f>
        <v>0</v>
      </c>
      <c r="J62" s="389">
        <f>J55+J57+J58+J61</f>
        <v>0</v>
      </c>
      <c r="K62" s="389"/>
      <c r="L62" s="389">
        <f>L55+L57+L58+L61</f>
        <v>0</v>
      </c>
      <c r="M62" s="391">
        <f t="shared" si="11"/>
        <v>0</v>
      </c>
      <c r="N62" s="391">
        <f t="shared" si="11"/>
        <v>0</v>
      </c>
      <c r="O62" s="391">
        <f>E62+I62+L62</f>
        <v>0</v>
      </c>
      <c r="EG62" s="394"/>
    </row>
    <row r="63" spans="1:137" ht="18" customHeight="1" x14ac:dyDescent="0.25">
      <c r="A63" s="613" t="s">
        <v>20</v>
      </c>
      <c r="B63" s="614" t="s">
        <v>107</v>
      </c>
      <c r="C63" s="389">
        <f>C54+C62</f>
        <v>395999000</v>
      </c>
      <c r="D63" s="389">
        <f>D54+D62</f>
        <v>402285500</v>
      </c>
      <c r="E63" s="389">
        <f>E54+E62</f>
        <v>406976812</v>
      </c>
      <c r="F63" s="389"/>
      <c r="G63" s="389">
        <f>G54+G62</f>
        <v>0</v>
      </c>
      <c r="H63" s="389">
        <f>H54+H62</f>
        <v>0</v>
      </c>
      <c r="I63" s="389">
        <f>I54+I62</f>
        <v>0</v>
      </c>
      <c r="J63" s="389">
        <f>J54+J62</f>
        <v>0</v>
      </c>
      <c r="K63" s="389"/>
      <c r="L63" s="389">
        <f>L54+L62</f>
        <v>0</v>
      </c>
      <c r="M63" s="391">
        <f t="shared" si="11"/>
        <v>395999000</v>
      </c>
      <c r="N63" s="402">
        <f t="shared" si="11"/>
        <v>402285500</v>
      </c>
      <c r="O63" s="402">
        <f>E63+I63+L63</f>
        <v>406976812</v>
      </c>
      <c r="P63" s="6">
        <f>+O63-N63</f>
        <v>4691312</v>
      </c>
      <c r="EG63" s="394"/>
    </row>
    <row r="64" spans="1:137" s="358" customFormat="1" x14ac:dyDescent="0.25">
      <c r="A64" s="435"/>
      <c r="B64" s="363"/>
      <c r="C64" s="436">
        <f t="shared" ref="C64:N64" si="12">+C63-C34</f>
        <v>0</v>
      </c>
      <c r="D64" s="436">
        <f t="shared" si="12"/>
        <v>0</v>
      </c>
      <c r="E64" s="436">
        <f t="shared" si="12"/>
        <v>0</v>
      </c>
      <c r="F64" s="436">
        <f t="shared" si="12"/>
        <v>0</v>
      </c>
      <c r="G64" s="436">
        <f t="shared" si="12"/>
        <v>0</v>
      </c>
      <c r="H64" s="436">
        <f t="shared" si="12"/>
        <v>0</v>
      </c>
      <c r="I64" s="436">
        <f t="shared" si="12"/>
        <v>0</v>
      </c>
      <c r="J64" s="436">
        <f t="shared" si="12"/>
        <v>0</v>
      </c>
      <c r="K64" s="436">
        <f t="shared" si="12"/>
        <v>0</v>
      </c>
      <c r="L64" s="436">
        <f t="shared" si="12"/>
        <v>0</v>
      </c>
      <c r="M64" s="436">
        <f t="shared" si="12"/>
        <v>0</v>
      </c>
      <c r="N64" s="436">
        <f t="shared" si="12"/>
        <v>0</v>
      </c>
      <c r="O64" s="436">
        <f>+O63-O34</f>
        <v>0</v>
      </c>
      <c r="EF64" s="437"/>
      <c r="EG64" s="437"/>
    </row>
    <row r="65" spans="1:137" s="29" customFormat="1" x14ac:dyDescent="0.25">
      <c r="A65" s="435"/>
      <c r="B65" s="36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438"/>
      <c r="N65" s="438"/>
      <c r="O65" s="438"/>
      <c r="EF65" s="397"/>
      <c r="EG65" s="397"/>
    </row>
    <row r="66" spans="1:137" s="29" customFormat="1" x14ac:dyDescent="0.25">
      <c r="A66" s="442"/>
      <c r="B66" s="364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  <c r="EF66" s="397"/>
      <c r="EG66" s="397"/>
    </row>
    <row r="67" spans="1:137" s="29" customFormat="1" x14ac:dyDescent="0.25">
      <c r="A67" s="443"/>
      <c r="B67" s="365"/>
      <c r="C67" s="441"/>
      <c r="D67" s="444"/>
      <c r="E67" s="441">
        <f>+E63-E34</f>
        <v>0</v>
      </c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EF67" s="397"/>
      <c r="EG67" s="397"/>
    </row>
    <row r="68" spans="1:137" x14ac:dyDescent="0.25">
      <c r="A68" s="443"/>
      <c r="B68" s="366"/>
      <c r="C68" s="446"/>
      <c r="D68" s="447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</row>
    <row r="69" spans="1:137" x14ac:dyDescent="0.25">
      <c r="A69" s="443"/>
      <c r="B69" s="377"/>
      <c r="C69" s="441"/>
      <c r="D69" s="444"/>
      <c r="E69" s="441"/>
      <c r="F69" s="441"/>
    </row>
    <row r="70" spans="1:137" x14ac:dyDescent="0.25">
      <c r="A70" s="449"/>
      <c r="B70" s="364"/>
      <c r="C70" s="393"/>
      <c r="D70" s="450"/>
      <c r="E70" s="393"/>
      <c r="F70" s="393"/>
    </row>
    <row r="71" spans="1:137" x14ac:dyDescent="0.25">
      <c r="A71" s="449"/>
      <c r="B71" s="367"/>
      <c r="C71" s="394"/>
      <c r="D71" s="451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</row>
    <row r="72" spans="1:137" x14ac:dyDescent="0.25">
      <c r="A72" s="449"/>
      <c r="B72" s="367"/>
      <c r="C72" s="394"/>
      <c r="D72" s="451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</row>
    <row r="73" spans="1:137" x14ac:dyDescent="0.25">
      <c r="A73" s="449"/>
      <c r="B73" s="368"/>
      <c r="C73" s="394"/>
      <c r="D73" s="451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</row>
    <row r="74" spans="1:137" x14ac:dyDescent="0.25">
      <c r="A74" s="443"/>
      <c r="B74" s="368"/>
      <c r="C74" s="454"/>
      <c r="D74" s="455"/>
      <c r="E74" s="454"/>
      <c r="F74" s="454"/>
      <c r="G74" s="397"/>
      <c r="H74" s="397"/>
      <c r="I74" s="397"/>
      <c r="J74" s="397"/>
      <c r="K74" s="397"/>
      <c r="L74" s="397"/>
      <c r="M74" s="456"/>
      <c r="N74" s="456"/>
      <c r="O74" s="456"/>
    </row>
    <row r="75" spans="1:137" x14ac:dyDescent="0.25">
      <c r="B75" s="367"/>
      <c r="C75" s="394"/>
      <c r="D75" s="451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</row>
    <row r="76" spans="1:137" x14ac:dyDescent="0.25">
      <c r="B76" s="367"/>
      <c r="C76" s="394"/>
      <c r="D76" s="451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</row>
    <row r="77" spans="1:137" x14ac:dyDescent="0.25">
      <c r="B77" s="367"/>
      <c r="C77" s="394"/>
      <c r="D77" s="451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</row>
    <row r="78" spans="1:137" x14ac:dyDescent="0.25">
      <c r="B78" s="367"/>
      <c r="C78" s="394"/>
      <c r="D78" s="451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</row>
    <row r="79" spans="1:137" x14ac:dyDescent="0.25">
      <c r="B79" s="367"/>
      <c r="C79" s="394"/>
      <c r="D79" s="451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</row>
    <row r="80" spans="1:137" x14ac:dyDescent="0.25">
      <c r="B80" s="368"/>
      <c r="C80" s="394"/>
      <c r="D80" s="451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</row>
    <row r="81" spans="2:15" x14ac:dyDescent="0.25">
      <c r="B81" s="367"/>
      <c r="C81" s="394"/>
      <c r="D81" s="451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</row>
    <row r="82" spans="2:15" x14ac:dyDescent="0.25">
      <c r="B82" s="367"/>
      <c r="C82" s="394"/>
      <c r="D82" s="451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</row>
    <row r="83" spans="2:15" x14ac:dyDescent="0.25">
      <c r="B83" s="367"/>
      <c r="C83" s="394"/>
      <c r="D83" s="451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</row>
    <row r="84" spans="2:15" x14ac:dyDescent="0.25">
      <c r="B84" s="368"/>
      <c r="C84" s="394"/>
      <c r="D84" s="451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</row>
    <row r="85" spans="2:15" x14ac:dyDescent="0.25">
      <c r="B85" s="364"/>
      <c r="C85" s="394"/>
      <c r="D85" s="451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</row>
    <row r="86" spans="2:15" x14ac:dyDescent="0.25">
      <c r="B86" s="364"/>
      <c r="C86" s="441"/>
      <c r="D86" s="444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1"/>
    </row>
    <row r="87" spans="2:15" x14ac:dyDescent="0.25">
      <c r="B87" s="364"/>
      <c r="C87" s="441"/>
      <c r="D87" s="444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</row>
    <row r="88" spans="2:15" x14ac:dyDescent="0.25">
      <c r="B88" s="378"/>
      <c r="C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2:15" x14ac:dyDescent="0.25">
      <c r="B89" s="1097"/>
      <c r="C89" s="1097"/>
      <c r="D89" s="370"/>
      <c r="E89" s="383"/>
      <c r="F89" s="383"/>
      <c r="G89" s="458"/>
      <c r="H89" s="458"/>
      <c r="I89" s="458"/>
      <c r="J89" s="1098"/>
      <c r="K89" s="1098"/>
      <c r="L89" s="1098"/>
      <c r="M89" s="1099"/>
      <c r="N89" s="386"/>
      <c r="O89" s="386"/>
    </row>
    <row r="90" spans="2:15" x14ac:dyDescent="0.25">
      <c r="B90" s="1097"/>
      <c r="C90" s="1097"/>
      <c r="D90" s="370"/>
      <c r="E90" s="383"/>
      <c r="F90" s="383"/>
      <c r="G90" s="458"/>
      <c r="H90" s="458"/>
      <c r="I90" s="458"/>
      <c r="J90" s="458"/>
      <c r="K90" s="458"/>
      <c r="L90" s="458"/>
      <c r="M90" s="458"/>
      <c r="N90" s="458"/>
      <c r="O90" s="458"/>
    </row>
    <row r="91" spans="2:15" x14ac:dyDescent="0.25">
      <c r="B91" s="364"/>
      <c r="C91" s="456"/>
      <c r="D91" s="385"/>
      <c r="E91" s="456"/>
      <c r="F91" s="456"/>
      <c r="G91" s="458"/>
      <c r="H91" s="458"/>
      <c r="I91" s="458"/>
      <c r="J91" s="458"/>
      <c r="K91" s="458"/>
      <c r="L91" s="458"/>
      <c r="M91" s="456"/>
      <c r="N91" s="456"/>
      <c r="O91" s="456"/>
    </row>
    <row r="92" spans="2:15" x14ac:dyDescent="0.25">
      <c r="B92" s="369"/>
      <c r="C92" s="460"/>
      <c r="D92" s="359"/>
      <c r="E92" s="460"/>
      <c r="F92" s="460"/>
      <c r="G92" s="458"/>
      <c r="H92" s="458"/>
      <c r="I92" s="458"/>
      <c r="J92" s="458"/>
      <c r="K92" s="458"/>
      <c r="L92" s="458"/>
      <c r="M92" s="361"/>
      <c r="N92" s="361"/>
      <c r="O92" s="361"/>
    </row>
    <row r="93" spans="2:15" x14ac:dyDescent="0.25">
      <c r="B93" s="368"/>
      <c r="C93" s="393"/>
      <c r="D93" s="450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</row>
    <row r="94" spans="2:15" x14ac:dyDescent="0.25">
      <c r="B94" s="367"/>
      <c r="C94" s="394"/>
      <c r="D94" s="451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</row>
    <row r="95" spans="2:15" x14ac:dyDescent="0.25">
      <c r="B95" s="367"/>
      <c r="C95" s="394"/>
      <c r="D95" s="451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</row>
    <row r="96" spans="2:15" x14ac:dyDescent="0.25">
      <c r="B96" s="367"/>
      <c r="C96" s="394"/>
      <c r="D96" s="451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</row>
    <row r="97" spans="2:15" x14ac:dyDescent="0.25">
      <c r="B97" s="367"/>
      <c r="C97" s="394"/>
      <c r="D97" s="451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</row>
    <row r="98" spans="2:15" x14ac:dyDescent="0.25">
      <c r="B98" s="367"/>
      <c r="C98" s="394"/>
      <c r="D98" s="451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</row>
    <row r="99" spans="2:15" x14ac:dyDescent="0.25">
      <c r="B99" s="367"/>
      <c r="C99" s="394"/>
      <c r="D99" s="451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</row>
    <row r="100" spans="2:15" x14ac:dyDescent="0.25">
      <c r="B100" s="367"/>
      <c r="C100" s="394"/>
      <c r="D100" s="451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</row>
    <row r="101" spans="2:15" x14ac:dyDescent="0.25">
      <c r="B101" s="368"/>
      <c r="C101" s="394"/>
      <c r="D101" s="451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</row>
    <row r="102" spans="2:15" x14ac:dyDescent="0.25">
      <c r="B102" s="368"/>
      <c r="C102" s="454"/>
      <c r="D102" s="455"/>
      <c r="E102" s="454"/>
      <c r="F102" s="454"/>
      <c r="G102" s="397"/>
      <c r="H102" s="397"/>
      <c r="I102" s="397"/>
      <c r="J102" s="397"/>
      <c r="K102" s="397"/>
      <c r="L102" s="397"/>
      <c r="M102" s="456"/>
      <c r="N102" s="456"/>
      <c r="O102" s="456"/>
    </row>
    <row r="103" spans="2:15" x14ac:dyDescent="0.25">
      <c r="B103" s="367"/>
      <c r="C103" s="394"/>
      <c r="D103" s="451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</row>
    <row r="104" spans="2:15" x14ac:dyDescent="0.25">
      <c r="B104" s="367"/>
      <c r="C104" s="394"/>
      <c r="D104" s="451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</row>
    <row r="105" spans="2:15" x14ac:dyDescent="0.25">
      <c r="B105" s="367"/>
      <c r="C105" s="394"/>
      <c r="D105" s="451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</row>
    <row r="106" spans="2:15" x14ac:dyDescent="0.25">
      <c r="B106" s="367"/>
      <c r="C106" s="394"/>
      <c r="D106" s="451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</row>
    <row r="107" spans="2:15" x14ac:dyDescent="0.25">
      <c r="B107" s="367"/>
      <c r="C107" s="394"/>
      <c r="D107" s="451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</row>
    <row r="108" spans="2:15" x14ac:dyDescent="0.25">
      <c r="B108" s="368"/>
      <c r="C108" s="394"/>
      <c r="D108" s="451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</row>
    <row r="109" spans="2:15" x14ac:dyDescent="0.25">
      <c r="B109" s="367"/>
      <c r="C109" s="394"/>
      <c r="D109" s="451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</row>
    <row r="110" spans="2:15" x14ac:dyDescent="0.25">
      <c r="B110" s="367"/>
      <c r="C110" s="394"/>
      <c r="D110" s="451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</row>
    <row r="111" spans="2:15" x14ac:dyDescent="0.25">
      <c r="B111" s="367"/>
      <c r="C111" s="394"/>
      <c r="D111" s="451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</row>
    <row r="112" spans="2:15" x14ac:dyDescent="0.25">
      <c r="B112" s="368"/>
      <c r="C112" s="394"/>
      <c r="D112" s="451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</row>
    <row r="113" spans="2:15" x14ac:dyDescent="0.25">
      <c r="B113" s="364"/>
      <c r="C113" s="394"/>
      <c r="D113" s="451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</row>
    <row r="114" spans="2:15" x14ac:dyDescent="0.25">
      <c r="B114" s="1097"/>
      <c r="C114" s="1097"/>
      <c r="D114" s="370"/>
      <c r="E114" s="383"/>
      <c r="F114" s="383"/>
      <c r="G114" s="458"/>
      <c r="H114" s="458"/>
      <c r="I114" s="458"/>
      <c r="J114" s="1098"/>
      <c r="K114" s="1098"/>
      <c r="L114" s="1098"/>
      <c r="M114" s="1099"/>
      <c r="N114" s="386"/>
      <c r="O114" s="386"/>
    </row>
    <row r="115" spans="2:15" x14ac:dyDescent="0.25">
      <c r="B115" s="1097"/>
      <c r="C115" s="1097"/>
      <c r="D115" s="370"/>
      <c r="E115" s="383"/>
      <c r="F115" s="383"/>
      <c r="G115" s="458"/>
      <c r="H115" s="458"/>
      <c r="I115" s="458"/>
      <c r="J115" s="458"/>
      <c r="K115" s="458"/>
      <c r="L115" s="458"/>
      <c r="M115" s="458"/>
      <c r="N115" s="458"/>
      <c r="O115" s="458"/>
    </row>
    <row r="116" spans="2:15" x14ac:dyDescent="0.25">
      <c r="B116" s="364"/>
      <c r="C116" s="456"/>
      <c r="D116" s="385"/>
      <c r="E116" s="456"/>
      <c r="F116" s="456"/>
      <c r="G116" s="458"/>
      <c r="H116" s="458"/>
      <c r="I116" s="458"/>
      <c r="J116" s="458"/>
      <c r="K116" s="458"/>
      <c r="L116" s="458"/>
      <c r="M116" s="456"/>
      <c r="N116" s="456"/>
      <c r="O116" s="456"/>
    </row>
    <row r="117" spans="2:15" x14ac:dyDescent="0.25">
      <c r="B117" s="369"/>
      <c r="C117" s="460"/>
      <c r="D117" s="359"/>
      <c r="E117" s="460"/>
      <c r="F117" s="460"/>
      <c r="G117" s="458"/>
      <c r="H117" s="458"/>
      <c r="I117" s="458"/>
      <c r="J117" s="458"/>
      <c r="K117" s="458"/>
      <c r="L117" s="458"/>
      <c r="M117" s="361"/>
      <c r="N117" s="361"/>
      <c r="O117" s="361"/>
    </row>
    <row r="118" spans="2:15" x14ac:dyDescent="0.25">
      <c r="B118" s="368"/>
      <c r="C118" s="393"/>
      <c r="D118" s="450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</row>
    <row r="119" spans="2:15" x14ac:dyDescent="0.25">
      <c r="B119" s="367"/>
      <c r="C119" s="394"/>
      <c r="D119" s="451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</row>
    <row r="120" spans="2:15" x14ac:dyDescent="0.25">
      <c r="B120" s="367"/>
      <c r="C120" s="394"/>
      <c r="D120" s="451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</row>
    <row r="121" spans="2:15" x14ac:dyDescent="0.25">
      <c r="B121" s="367"/>
      <c r="C121" s="394"/>
      <c r="D121" s="451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</row>
    <row r="122" spans="2:15" x14ac:dyDescent="0.25">
      <c r="B122" s="367"/>
      <c r="C122" s="394"/>
      <c r="D122" s="451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</row>
    <row r="123" spans="2:15" x14ac:dyDescent="0.25">
      <c r="B123" s="367"/>
      <c r="C123" s="394"/>
      <c r="D123" s="451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</row>
    <row r="124" spans="2:15" x14ac:dyDescent="0.25">
      <c r="B124" s="367"/>
      <c r="C124" s="394"/>
      <c r="D124" s="451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</row>
    <row r="125" spans="2:15" x14ac:dyDescent="0.25">
      <c r="B125" s="367"/>
      <c r="C125" s="394"/>
      <c r="D125" s="451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</row>
    <row r="126" spans="2:15" x14ac:dyDescent="0.25">
      <c r="B126" s="368"/>
      <c r="C126" s="394"/>
      <c r="D126" s="451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</row>
    <row r="127" spans="2:15" x14ac:dyDescent="0.25">
      <c r="B127" s="368"/>
      <c r="C127" s="454"/>
      <c r="D127" s="455"/>
      <c r="E127" s="454"/>
      <c r="F127" s="454"/>
      <c r="G127" s="397"/>
      <c r="H127" s="397"/>
      <c r="I127" s="397"/>
      <c r="J127" s="397"/>
      <c r="K127" s="397"/>
      <c r="L127" s="397"/>
      <c r="M127" s="456"/>
      <c r="N127" s="456"/>
      <c r="O127" s="456"/>
    </row>
    <row r="128" spans="2:15" x14ac:dyDescent="0.25">
      <c r="B128" s="367"/>
      <c r="C128" s="394"/>
      <c r="D128" s="451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</row>
    <row r="129" spans="2:15" x14ac:dyDescent="0.25">
      <c r="B129" s="367"/>
      <c r="C129" s="394"/>
      <c r="D129" s="451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</row>
    <row r="130" spans="2:15" x14ac:dyDescent="0.25">
      <c r="B130" s="367"/>
      <c r="C130" s="394"/>
      <c r="D130" s="451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</row>
    <row r="131" spans="2:15" x14ac:dyDescent="0.25">
      <c r="B131" s="367"/>
      <c r="C131" s="394"/>
      <c r="D131" s="451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</row>
    <row r="132" spans="2:15" x14ac:dyDescent="0.25">
      <c r="B132" s="367"/>
      <c r="C132" s="394"/>
      <c r="D132" s="451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</row>
    <row r="133" spans="2:15" x14ac:dyDescent="0.25">
      <c r="B133" s="368"/>
      <c r="C133" s="394"/>
      <c r="D133" s="451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</row>
    <row r="134" spans="2:15" x14ac:dyDescent="0.25">
      <c r="B134" s="367"/>
      <c r="C134" s="394"/>
      <c r="D134" s="451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</row>
    <row r="135" spans="2:15" x14ac:dyDescent="0.25">
      <c r="B135" s="367"/>
      <c r="C135" s="394"/>
      <c r="D135" s="451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</row>
    <row r="136" spans="2:15" x14ac:dyDescent="0.25">
      <c r="B136" s="367"/>
      <c r="C136" s="394"/>
      <c r="D136" s="451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</row>
    <row r="137" spans="2:15" x14ac:dyDescent="0.25">
      <c r="B137" s="368"/>
      <c r="C137" s="394"/>
      <c r="D137" s="451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</row>
    <row r="138" spans="2:15" x14ac:dyDescent="0.25">
      <c r="B138" s="364"/>
      <c r="C138" s="394"/>
      <c r="D138" s="451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</row>
    <row r="139" spans="2:15" x14ac:dyDescent="0.25">
      <c r="B139" s="378"/>
      <c r="C139" s="397"/>
      <c r="E139" s="397"/>
      <c r="F139" s="397"/>
      <c r="G139" s="397"/>
      <c r="H139" s="397"/>
      <c r="I139" s="397"/>
      <c r="J139" s="397"/>
      <c r="K139" s="397"/>
      <c r="L139" s="397"/>
      <c r="M139" s="397"/>
      <c r="N139" s="397"/>
      <c r="O139" s="397"/>
    </row>
    <row r="140" spans="2:15" x14ac:dyDescent="0.25">
      <c r="B140" s="378"/>
      <c r="C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</row>
    <row r="141" spans="2:15" x14ac:dyDescent="0.25">
      <c r="B141" s="378"/>
      <c r="C141" s="397"/>
      <c r="E141" s="397"/>
      <c r="F141" s="397"/>
      <c r="G141" s="397"/>
      <c r="H141" s="397"/>
      <c r="I141" s="397"/>
      <c r="J141" s="397"/>
      <c r="K141" s="397"/>
      <c r="L141" s="397"/>
      <c r="M141" s="397"/>
      <c r="N141" s="397"/>
      <c r="O141" s="397"/>
    </row>
    <row r="142" spans="2:15" x14ac:dyDescent="0.25">
      <c r="B142" s="1097"/>
      <c r="C142" s="1097"/>
      <c r="D142" s="370"/>
      <c r="E142" s="383"/>
      <c r="F142" s="383"/>
      <c r="G142" s="458"/>
      <c r="H142" s="458"/>
      <c r="I142" s="458"/>
      <c r="J142" s="1098"/>
      <c r="K142" s="1098"/>
      <c r="L142" s="1098"/>
      <c r="M142" s="1099"/>
      <c r="N142" s="386"/>
      <c r="O142" s="386"/>
    </row>
    <row r="143" spans="2:15" x14ac:dyDescent="0.25">
      <c r="B143" s="1097"/>
      <c r="C143" s="1097"/>
      <c r="D143" s="370"/>
      <c r="E143" s="383"/>
      <c r="F143" s="383"/>
      <c r="G143" s="458"/>
      <c r="H143" s="458"/>
      <c r="I143" s="458"/>
      <c r="J143" s="458"/>
      <c r="K143" s="458"/>
      <c r="L143" s="458"/>
      <c r="M143" s="458"/>
      <c r="N143" s="458"/>
      <c r="O143" s="458"/>
    </row>
    <row r="144" spans="2:15" x14ac:dyDescent="0.25">
      <c r="B144" s="364"/>
      <c r="C144" s="456"/>
      <c r="D144" s="385"/>
      <c r="E144" s="456"/>
      <c r="F144" s="456"/>
      <c r="G144" s="458"/>
      <c r="H144" s="458"/>
      <c r="I144" s="458"/>
      <c r="J144" s="458"/>
      <c r="K144" s="458"/>
      <c r="L144" s="458"/>
      <c r="M144" s="456"/>
      <c r="N144" s="456"/>
      <c r="O144" s="456"/>
    </row>
    <row r="145" spans="2:15" x14ac:dyDescent="0.25">
      <c r="B145" s="369"/>
      <c r="C145" s="460"/>
      <c r="D145" s="359"/>
      <c r="E145" s="460"/>
      <c r="F145" s="460"/>
      <c r="G145" s="458"/>
      <c r="H145" s="458"/>
      <c r="I145" s="458"/>
      <c r="J145" s="458"/>
      <c r="K145" s="458"/>
      <c r="L145" s="458"/>
      <c r="M145" s="361"/>
      <c r="N145" s="361"/>
      <c r="O145" s="361"/>
    </row>
    <row r="146" spans="2:15" x14ac:dyDescent="0.25">
      <c r="B146" s="368"/>
      <c r="C146" s="393"/>
      <c r="D146" s="450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</row>
    <row r="147" spans="2:15" x14ac:dyDescent="0.25">
      <c r="B147" s="367"/>
      <c r="C147" s="394"/>
      <c r="D147" s="451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</row>
    <row r="148" spans="2:15" x14ac:dyDescent="0.25">
      <c r="B148" s="367"/>
      <c r="C148" s="394"/>
      <c r="D148" s="451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</row>
    <row r="149" spans="2:15" x14ac:dyDescent="0.25">
      <c r="B149" s="367"/>
      <c r="C149" s="394"/>
      <c r="D149" s="451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</row>
    <row r="150" spans="2:15" x14ac:dyDescent="0.25">
      <c r="B150" s="367"/>
      <c r="C150" s="394"/>
      <c r="D150" s="451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</row>
    <row r="151" spans="2:15" x14ac:dyDescent="0.25">
      <c r="B151" s="367"/>
      <c r="C151" s="394"/>
      <c r="D151" s="451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</row>
    <row r="152" spans="2:15" x14ac:dyDescent="0.25">
      <c r="B152" s="367"/>
      <c r="C152" s="394"/>
      <c r="D152" s="451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</row>
    <row r="153" spans="2:15" x14ac:dyDescent="0.25">
      <c r="B153" s="367"/>
      <c r="C153" s="394"/>
      <c r="D153" s="451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</row>
    <row r="154" spans="2:15" x14ac:dyDescent="0.25">
      <c r="B154" s="368"/>
      <c r="C154" s="394"/>
      <c r="D154" s="451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</row>
    <row r="155" spans="2:15" x14ac:dyDescent="0.25">
      <c r="B155" s="368"/>
      <c r="C155" s="454"/>
      <c r="D155" s="455"/>
      <c r="E155" s="454"/>
      <c r="F155" s="454"/>
      <c r="G155" s="397"/>
      <c r="H155" s="397"/>
      <c r="I155" s="397"/>
      <c r="J155" s="397"/>
      <c r="K155" s="397"/>
      <c r="L155" s="397"/>
      <c r="M155" s="456"/>
      <c r="N155" s="456"/>
      <c r="O155" s="456"/>
    </row>
    <row r="156" spans="2:15" x14ac:dyDescent="0.25">
      <c r="B156" s="367"/>
      <c r="C156" s="394"/>
      <c r="D156" s="451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</row>
    <row r="157" spans="2:15" x14ac:dyDescent="0.25">
      <c r="B157" s="367"/>
      <c r="C157" s="394"/>
      <c r="D157" s="451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</row>
    <row r="158" spans="2:15" x14ac:dyDescent="0.25">
      <c r="B158" s="367"/>
      <c r="C158" s="394"/>
      <c r="D158" s="451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</row>
    <row r="159" spans="2:15" x14ac:dyDescent="0.25">
      <c r="B159" s="367"/>
      <c r="C159" s="394"/>
      <c r="D159" s="451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</row>
    <row r="160" spans="2:15" x14ac:dyDescent="0.25">
      <c r="B160" s="367"/>
      <c r="C160" s="394"/>
      <c r="D160" s="451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</row>
    <row r="161" spans="2:15" x14ac:dyDescent="0.25">
      <c r="B161" s="368"/>
      <c r="C161" s="394"/>
      <c r="D161" s="451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</row>
    <row r="162" spans="2:15" x14ac:dyDescent="0.25">
      <c r="B162" s="367"/>
      <c r="C162" s="394"/>
      <c r="D162" s="451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</row>
    <row r="163" spans="2:15" x14ac:dyDescent="0.25">
      <c r="B163" s="367"/>
      <c r="C163" s="394"/>
      <c r="D163" s="451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</row>
    <row r="164" spans="2:15" x14ac:dyDescent="0.25">
      <c r="B164" s="367"/>
      <c r="C164" s="394"/>
      <c r="D164" s="451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</row>
    <row r="165" spans="2:15" x14ac:dyDescent="0.25">
      <c r="B165" s="368"/>
      <c r="C165" s="394"/>
      <c r="D165" s="451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</row>
    <row r="166" spans="2:15" x14ac:dyDescent="0.25">
      <c r="B166" s="364"/>
      <c r="C166" s="394"/>
      <c r="D166" s="451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</row>
    <row r="167" spans="2:15" x14ac:dyDescent="0.25">
      <c r="B167" s="1097"/>
      <c r="C167" s="1097"/>
      <c r="D167" s="370"/>
      <c r="E167" s="383"/>
      <c r="F167" s="383"/>
      <c r="G167" s="458"/>
      <c r="H167" s="458"/>
      <c r="I167" s="458"/>
      <c r="J167" s="1098"/>
      <c r="K167" s="1098"/>
      <c r="L167" s="1098"/>
      <c r="M167" s="1099"/>
      <c r="N167" s="386"/>
      <c r="O167" s="386"/>
    </row>
    <row r="168" spans="2:15" x14ac:dyDescent="0.25">
      <c r="B168" s="1097"/>
      <c r="C168" s="1097"/>
      <c r="D168" s="370"/>
      <c r="E168" s="383"/>
      <c r="F168" s="383"/>
      <c r="G168" s="458"/>
      <c r="H168" s="458"/>
      <c r="I168" s="458"/>
      <c r="J168" s="458"/>
      <c r="K168" s="458"/>
      <c r="L168" s="458"/>
      <c r="M168" s="458"/>
      <c r="N168" s="458"/>
      <c r="O168" s="458"/>
    </row>
    <row r="169" spans="2:15" x14ac:dyDescent="0.25">
      <c r="B169" s="364"/>
      <c r="C169" s="456"/>
      <c r="D169" s="385"/>
      <c r="E169" s="456"/>
      <c r="F169" s="456"/>
      <c r="G169" s="458"/>
      <c r="H169" s="458"/>
      <c r="I169" s="458"/>
      <c r="J169" s="458"/>
      <c r="K169" s="458"/>
      <c r="L169" s="458"/>
      <c r="M169" s="456"/>
      <c r="N169" s="456"/>
      <c r="O169" s="456"/>
    </row>
    <row r="170" spans="2:15" x14ac:dyDescent="0.25">
      <c r="B170" s="369"/>
      <c r="C170" s="460"/>
      <c r="D170" s="359"/>
      <c r="E170" s="460"/>
      <c r="F170" s="460"/>
      <c r="G170" s="458"/>
      <c r="H170" s="458"/>
      <c r="I170" s="458"/>
      <c r="J170" s="458"/>
      <c r="K170" s="458"/>
      <c r="L170" s="458"/>
      <c r="M170" s="361"/>
      <c r="N170" s="361"/>
      <c r="O170" s="361"/>
    </row>
    <row r="171" spans="2:15" x14ac:dyDescent="0.25">
      <c r="B171" s="368"/>
      <c r="C171" s="393"/>
      <c r="D171" s="450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</row>
    <row r="172" spans="2:15" x14ac:dyDescent="0.25">
      <c r="B172" s="367"/>
      <c r="C172" s="394"/>
      <c r="D172" s="451"/>
      <c r="E172" s="394"/>
      <c r="F172" s="394"/>
      <c r="G172" s="394"/>
      <c r="H172" s="394"/>
      <c r="I172" s="394"/>
      <c r="J172" s="394"/>
      <c r="K172" s="394"/>
      <c r="L172" s="394"/>
      <c r="M172" s="394"/>
      <c r="N172" s="394"/>
      <c r="O172" s="394"/>
    </row>
    <row r="173" spans="2:15" x14ac:dyDescent="0.25">
      <c r="B173" s="367"/>
      <c r="C173" s="394"/>
      <c r="D173" s="451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</row>
    <row r="174" spans="2:15" x14ac:dyDescent="0.25">
      <c r="B174" s="367"/>
      <c r="C174" s="394"/>
      <c r="D174" s="451"/>
      <c r="E174" s="394"/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</row>
    <row r="175" spans="2:15" x14ac:dyDescent="0.25">
      <c r="B175" s="367"/>
      <c r="C175" s="394"/>
      <c r="D175" s="451"/>
      <c r="E175" s="394"/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</row>
    <row r="176" spans="2:15" x14ac:dyDescent="0.25">
      <c r="B176" s="367"/>
      <c r="C176" s="394"/>
      <c r="D176" s="451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</row>
    <row r="177" spans="2:15" x14ac:dyDescent="0.25">
      <c r="B177" s="367"/>
      <c r="C177" s="394"/>
      <c r="D177" s="451"/>
      <c r="E177" s="394"/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</row>
    <row r="178" spans="2:15" x14ac:dyDescent="0.25">
      <c r="B178" s="367"/>
      <c r="C178" s="394"/>
      <c r="D178" s="451"/>
      <c r="E178" s="394"/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</row>
    <row r="179" spans="2:15" x14ac:dyDescent="0.25">
      <c r="B179" s="368"/>
      <c r="C179" s="394"/>
      <c r="D179" s="451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</row>
    <row r="180" spans="2:15" x14ac:dyDescent="0.25">
      <c r="B180" s="368"/>
      <c r="C180" s="454"/>
      <c r="D180" s="455"/>
      <c r="E180" s="454"/>
      <c r="F180" s="454"/>
      <c r="G180" s="397"/>
      <c r="H180" s="397"/>
      <c r="I180" s="397"/>
      <c r="J180" s="397"/>
      <c r="K180" s="397"/>
      <c r="L180" s="397"/>
      <c r="M180" s="456"/>
      <c r="N180" s="456"/>
      <c r="O180" s="456"/>
    </row>
    <row r="181" spans="2:15" x14ac:dyDescent="0.25">
      <c r="B181" s="367"/>
      <c r="C181" s="394"/>
      <c r="D181" s="451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</row>
    <row r="182" spans="2:15" x14ac:dyDescent="0.25">
      <c r="B182" s="367"/>
      <c r="C182" s="394"/>
      <c r="D182" s="451"/>
      <c r="E182" s="394"/>
      <c r="F182" s="394"/>
      <c r="G182" s="394"/>
      <c r="H182" s="394"/>
      <c r="I182" s="394"/>
      <c r="J182" s="394"/>
      <c r="K182" s="394"/>
      <c r="L182" s="394"/>
      <c r="M182" s="394"/>
      <c r="N182" s="394"/>
      <c r="O182" s="394"/>
    </row>
    <row r="183" spans="2:15" x14ac:dyDescent="0.25">
      <c r="B183" s="367"/>
      <c r="C183" s="394"/>
      <c r="D183" s="451"/>
      <c r="E183" s="394"/>
      <c r="F183" s="394"/>
      <c r="G183" s="394"/>
      <c r="H183" s="394"/>
      <c r="I183" s="394"/>
      <c r="J183" s="394"/>
      <c r="K183" s="394"/>
      <c r="L183" s="394"/>
      <c r="M183" s="394"/>
      <c r="N183" s="394"/>
      <c r="O183" s="394"/>
    </row>
    <row r="184" spans="2:15" x14ac:dyDescent="0.25">
      <c r="B184" s="367"/>
      <c r="C184" s="394"/>
      <c r="D184" s="451"/>
      <c r="E184" s="394"/>
      <c r="F184" s="394"/>
      <c r="G184" s="394"/>
      <c r="H184" s="394"/>
      <c r="I184" s="394"/>
      <c r="J184" s="394"/>
      <c r="K184" s="394"/>
      <c r="L184" s="394"/>
      <c r="M184" s="394"/>
      <c r="N184" s="394"/>
      <c r="O184" s="394"/>
    </row>
    <row r="185" spans="2:15" x14ac:dyDescent="0.25">
      <c r="B185" s="367"/>
      <c r="C185" s="394"/>
      <c r="D185" s="451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</row>
    <row r="186" spans="2:15" x14ac:dyDescent="0.25">
      <c r="B186" s="368"/>
      <c r="C186" s="394"/>
      <c r="D186" s="451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</row>
    <row r="187" spans="2:15" x14ac:dyDescent="0.25">
      <c r="B187" s="367"/>
      <c r="C187" s="394"/>
      <c r="D187" s="451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</row>
    <row r="188" spans="2:15" x14ac:dyDescent="0.25">
      <c r="B188" s="367"/>
      <c r="C188" s="394"/>
      <c r="D188" s="451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4"/>
    </row>
    <row r="189" spans="2:15" x14ac:dyDescent="0.25">
      <c r="B189" s="367"/>
      <c r="C189" s="394"/>
      <c r="D189" s="451"/>
      <c r="E189" s="394"/>
      <c r="F189" s="394"/>
      <c r="G189" s="394"/>
      <c r="H189" s="394"/>
      <c r="I189" s="394"/>
      <c r="J189" s="394"/>
      <c r="K189" s="394"/>
      <c r="L189" s="394"/>
      <c r="M189" s="394"/>
      <c r="N189" s="394"/>
      <c r="O189" s="394"/>
    </row>
    <row r="190" spans="2:15" x14ac:dyDescent="0.25">
      <c r="B190" s="368"/>
      <c r="C190" s="394"/>
      <c r="D190" s="451"/>
      <c r="E190" s="394"/>
      <c r="F190" s="394"/>
      <c r="G190" s="394"/>
      <c r="H190" s="394"/>
      <c r="I190" s="394"/>
      <c r="J190" s="394"/>
      <c r="K190" s="394"/>
      <c r="L190" s="394"/>
      <c r="M190" s="394"/>
      <c r="N190" s="394"/>
      <c r="O190" s="394"/>
    </row>
    <row r="191" spans="2:15" x14ac:dyDescent="0.25">
      <c r="B191" s="364"/>
      <c r="C191" s="394"/>
      <c r="D191" s="451"/>
      <c r="E191" s="394"/>
      <c r="F191" s="394"/>
      <c r="G191" s="394"/>
      <c r="H191" s="394"/>
      <c r="I191" s="394"/>
      <c r="J191" s="394"/>
      <c r="K191" s="394"/>
      <c r="L191" s="394"/>
      <c r="M191" s="394"/>
      <c r="N191" s="394"/>
      <c r="O191" s="394"/>
    </row>
    <row r="192" spans="2:15" x14ac:dyDescent="0.25">
      <c r="B192" s="378"/>
      <c r="C192" s="397"/>
      <c r="E192" s="397"/>
      <c r="F192" s="397"/>
      <c r="G192" s="397"/>
      <c r="H192" s="397"/>
      <c r="I192" s="397"/>
      <c r="J192" s="397"/>
      <c r="K192" s="397"/>
      <c r="L192" s="397"/>
      <c r="M192" s="397"/>
      <c r="N192" s="397"/>
      <c r="O192" s="397"/>
    </row>
    <row r="193" spans="2:15" x14ac:dyDescent="0.25">
      <c r="B193" s="378"/>
      <c r="C193" s="397"/>
      <c r="E193" s="397"/>
      <c r="F193" s="397"/>
      <c r="G193" s="397"/>
      <c r="H193" s="397"/>
      <c r="I193" s="397"/>
      <c r="J193" s="397"/>
      <c r="K193" s="397"/>
      <c r="L193" s="397"/>
      <c r="M193" s="397"/>
      <c r="N193" s="397"/>
      <c r="O193" s="397"/>
    </row>
  </sheetData>
  <mergeCells count="15">
    <mergeCell ref="B168:C168"/>
    <mergeCell ref="B115:C115"/>
    <mergeCell ref="B142:C142"/>
    <mergeCell ref="J142:M142"/>
    <mergeCell ref="B143:C143"/>
    <mergeCell ref="B167:C167"/>
    <mergeCell ref="J167:M167"/>
    <mergeCell ref="A2:O2"/>
    <mergeCell ref="L1:O1"/>
    <mergeCell ref="J36:M36"/>
    <mergeCell ref="B114:C114"/>
    <mergeCell ref="J114:M114"/>
    <mergeCell ref="B90:C90"/>
    <mergeCell ref="B89:C89"/>
    <mergeCell ref="J89:M89"/>
  </mergeCells>
  <phoneticPr fontId="3" type="noConversion"/>
  <printOptions horizontalCentered="1"/>
  <pageMargins left="0.27559055118110237" right="0.19685039370078741" top="0.35433070866141736" bottom="0.55118110236220474" header="0.31496062992125984" footer="0.31496062992125984"/>
  <pageSetup paperSize="9" scale="64" orientation="portrait" r:id="rId1"/>
  <colBreaks count="7" manualBreakCount="7">
    <brk id="15" max="62" man="1"/>
    <brk id="30" max="1048575" man="1"/>
    <brk id="45" max="62" man="1"/>
    <brk id="58" max="62" man="1"/>
    <brk id="75" max="62" man="1"/>
    <brk id="90" max="62" man="1"/>
    <brk id="103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O193"/>
  <sheetViews>
    <sheetView view="pageBreakPreview" topLeftCell="A19" zoomScaleNormal="100" zoomScaleSheetLayoutView="100" workbookViewId="0">
      <selection activeCell="A37" sqref="A37:B37"/>
    </sheetView>
  </sheetViews>
  <sheetFormatPr defaultRowHeight="15" x14ac:dyDescent="0.25"/>
  <cols>
    <col min="1" max="1" width="7.28515625" style="380" customWidth="1"/>
    <col min="2" max="2" width="50.28515625" style="379" customWidth="1"/>
    <col min="3" max="3" width="10.5703125" style="382" customWidth="1"/>
    <col min="4" max="4" width="10.5703125" style="382" hidden="1" customWidth="1"/>
    <col min="5" max="5" width="10.5703125" style="382" customWidth="1"/>
    <col min="6" max="7" width="10" style="382" customWidth="1"/>
    <col min="8" max="8" width="10" style="382" hidden="1" customWidth="1"/>
    <col min="9" max="10" width="10" style="382" customWidth="1"/>
    <col min="11" max="11" width="8.85546875" style="382"/>
    <col min="12" max="12" width="10.28515625" style="382" customWidth="1"/>
    <col min="13" max="13" width="11.140625" style="382" bestFit="1" customWidth="1"/>
    <col min="14" max="14" width="9.28515625" style="382" hidden="1" customWidth="1"/>
    <col min="15" max="15" width="11.28515625" style="382" customWidth="1"/>
  </cols>
  <sheetData>
    <row r="1" spans="1:15" ht="37.5" customHeight="1" x14ac:dyDescent="0.25">
      <c r="B1" s="945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659</v>
      </c>
      <c r="M1" s="1086"/>
      <c r="N1" s="1086"/>
      <c r="O1" s="1086"/>
    </row>
    <row r="2" spans="1:15" ht="31.5" customHeight="1" x14ac:dyDescent="0.25">
      <c r="A2" s="1100" t="s">
        <v>658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</row>
    <row r="3" spans="1:15" x14ac:dyDescent="0.25">
      <c r="A3" s="384"/>
      <c r="B3" s="371" t="s">
        <v>37</v>
      </c>
      <c r="C3" s="385"/>
      <c r="D3" s="385"/>
      <c r="E3" s="385"/>
      <c r="F3" s="381"/>
      <c r="G3" s="381"/>
      <c r="H3" s="381"/>
      <c r="I3" s="381"/>
      <c r="J3" s="381"/>
      <c r="L3" s="420"/>
      <c r="M3" s="946" t="s">
        <v>339</v>
      </c>
      <c r="N3" s="384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>
        <v>0</v>
      </c>
      <c r="G5" s="388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D5+H5+L5</f>
        <v>0</v>
      </c>
      <c r="O5" s="391">
        <f>E5+I5+L5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>
        <v>0</v>
      </c>
      <c r="E6" s="389">
        <v>0</v>
      </c>
      <c r="F6" s="389">
        <v>0</v>
      </c>
      <c r="G6" s="388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D6+H6+L6</f>
        <v>0</v>
      </c>
      <c r="O6" s="391">
        <f>E6+I6+L6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8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8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8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8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>
        <v>0</v>
      </c>
      <c r="G11" s="388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D11+H11+L11</f>
        <v>0</v>
      </c>
      <c r="O11" s="391">
        <f>E11+I11+L11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>
        <v>0</v>
      </c>
      <c r="G12" s="388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D12+H12+L12</f>
        <v>0</v>
      </c>
      <c r="O12" s="391">
        <f>E12+I12+L12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8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8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8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8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8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8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480000</v>
      </c>
      <c r="D19" s="389">
        <f>+C19</f>
        <v>480000</v>
      </c>
      <c r="E19" s="389">
        <f>+D19</f>
        <v>480000</v>
      </c>
      <c r="F19" s="389">
        <v>0</v>
      </c>
      <c r="G19" s="388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N24" si="0">C19+G19+K19</f>
        <v>480000</v>
      </c>
      <c r="N19" s="391">
        <f t="shared" si="0"/>
        <v>480000</v>
      </c>
      <c r="O19" s="391">
        <f t="shared" ref="O19:O24" si="1">E19+I19+L19</f>
        <v>480000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>
        <v>0</v>
      </c>
      <c r="G20" s="388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 t="shared" si="0"/>
        <v>0</v>
      </c>
      <c r="O20" s="391">
        <f t="shared" si="1"/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>
        <v>0</v>
      </c>
      <c r="G21" s="388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 t="shared" si="0"/>
        <v>0</v>
      </c>
      <c r="O21" s="391">
        <f t="shared" si="1"/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>
        <v>0</v>
      </c>
      <c r="G22" s="388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 t="shared" si="0"/>
        <v>0</v>
      </c>
      <c r="O22" s="391">
        <f t="shared" si="1"/>
        <v>0</v>
      </c>
    </row>
    <row r="23" spans="1:15" x14ac:dyDescent="0.25">
      <c r="A23" s="396" t="s">
        <v>19</v>
      </c>
      <c r="B23" s="351" t="s">
        <v>80</v>
      </c>
      <c r="C23" s="389">
        <f>C5+C6+C11+C12+C19+C20+C21+C22</f>
        <v>480000</v>
      </c>
      <c r="D23" s="389">
        <f>D5+D6+D11+D12+D19+D20+D21+D22</f>
        <v>480000</v>
      </c>
      <c r="E23" s="389">
        <f>E5+E6+E11+E12+E19+E20+E21+E22</f>
        <v>480000</v>
      </c>
      <c r="F23" s="389">
        <f>F5+F6+F11+F12+F19+F20+F21+F22</f>
        <v>0</v>
      </c>
      <c r="G23" s="388">
        <v>0</v>
      </c>
      <c r="H23" s="389">
        <f>H5+H6+H11+H12+H19+H20+H21+H22</f>
        <v>0</v>
      </c>
      <c r="I23" s="389">
        <f>I5+I6+I11+I12+I19+I20+I21+I22</f>
        <v>0</v>
      </c>
      <c r="J23" s="389">
        <f>J5+J6+J11+J12+J19+J20+J21+J22</f>
        <v>0</v>
      </c>
      <c r="K23" s="389">
        <f>K5+K6+K11+K12+K19+K20+K21+K22</f>
        <v>0</v>
      </c>
      <c r="L23" s="389">
        <f>L5+L6+L11+L12+L19+L20+L21+L22</f>
        <v>0</v>
      </c>
      <c r="M23" s="391">
        <f t="shared" si="0"/>
        <v>480000</v>
      </c>
      <c r="N23" s="391">
        <f t="shared" si="0"/>
        <v>480000</v>
      </c>
      <c r="O23" s="391">
        <f t="shared" si="1"/>
        <v>480000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>
        <v>0</v>
      </c>
      <c r="G24" s="388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 t="shared" si="0"/>
        <v>0</v>
      </c>
      <c r="O24" s="391">
        <f t="shared" si="1"/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8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>
        <v>0</v>
      </c>
      <c r="G26" s="388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 t="shared" ref="M26:N29" si="2">C26+G26+K26</f>
        <v>0</v>
      </c>
      <c r="N26" s="391">
        <f t="shared" si="2"/>
        <v>0</v>
      </c>
      <c r="O26" s="391">
        <f>E26+I26+L26</f>
        <v>0</v>
      </c>
    </row>
    <row r="27" spans="1:15" x14ac:dyDescent="0.25">
      <c r="A27" s="387" t="s">
        <v>22</v>
      </c>
      <c r="B27" s="350" t="s">
        <v>152</v>
      </c>
      <c r="C27" s="389">
        <v>0</v>
      </c>
      <c r="D27" s="389">
        <v>0</v>
      </c>
      <c r="E27" s="389">
        <v>176954</v>
      </c>
      <c r="F27" s="389">
        <v>0</v>
      </c>
      <c r="G27" s="388">
        <v>0</v>
      </c>
      <c r="H27" s="389">
        <v>0</v>
      </c>
      <c r="I27" s="389">
        <v>0</v>
      </c>
      <c r="J27" s="389">
        <v>0</v>
      </c>
      <c r="K27" s="389">
        <v>0</v>
      </c>
      <c r="L27" s="389">
        <v>0</v>
      </c>
      <c r="M27" s="391">
        <f t="shared" si="2"/>
        <v>0</v>
      </c>
      <c r="N27" s="391">
        <f t="shared" si="2"/>
        <v>0</v>
      </c>
      <c r="O27" s="391">
        <f>E27+I27+L27</f>
        <v>176954</v>
      </c>
    </row>
    <row r="28" spans="1:15" x14ac:dyDescent="0.25">
      <c r="A28" s="395" t="s">
        <v>23</v>
      </c>
      <c r="B28" s="349" t="s">
        <v>83</v>
      </c>
      <c r="C28" s="389">
        <f>+C29</f>
        <v>72274000</v>
      </c>
      <c r="D28" s="389">
        <f>+D29</f>
        <v>61879000</v>
      </c>
      <c r="E28" s="389">
        <f>+D28</f>
        <v>61879000</v>
      </c>
      <c r="F28" s="389">
        <v>0</v>
      </c>
      <c r="G28" s="388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 t="shared" si="2"/>
        <v>72274000</v>
      </c>
      <c r="N28" s="391">
        <f t="shared" si="2"/>
        <v>61879000</v>
      </c>
      <c r="O28" s="391">
        <f>E28+I28+L28</f>
        <v>61879000</v>
      </c>
    </row>
    <row r="29" spans="1:15" x14ac:dyDescent="0.25">
      <c r="A29" s="395" t="s">
        <v>114</v>
      </c>
      <c r="B29" s="349" t="s">
        <v>84</v>
      </c>
      <c r="C29" s="389">
        <v>72274000</v>
      </c>
      <c r="D29" s="389">
        <f>+C29-10395000</f>
        <v>61879000</v>
      </c>
      <c r="E29" s="389">
        <f>+D29</f>
        <v>61879000</v>
      </c>
      <c r="F29" s="389">
        <v>0</v>
      </c>
      <c r="G29" s="388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 t="shared" si="2"/>
        <v>72274000</v>
      </c>
      <c r="N29" s="391">
        <f t="shared" si="2"/>
        <v>61879000</v>
      </c>
      <c r="O29" s="391">
        <f>E29+I29+L29</f>
        <v>61879000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8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>
        <v>0</v>
      </c>
      <c r="G31" s="388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 t="shared" ref="M31:N34" si="3">C31+G31+K31</f>
        <v>0</v>
      </c>
      <c r="N31" s="391">
        <f t="shared" si="3"/>
        <v>0</v>
      </c>
      <c r="O31" s="391">
        <f>E31+I31+L31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>
        <v>0</v>
      </c>
      <c r="G32" s="388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 t="shared" si="3"/>
        <v>0</v>
      </c>
      <c r="N32" s="391">
        <f t="shared" si="3"/>
        <v>0</v>
      </c>
      <c r="O32" s="391">
        <f>E32+I32+L32</f>
        <v>0</v>
      </c>
    </row>
    <row r="33" spans="1:15" x14ac:dyDescent="0.25">
      <c r="A33" s="396" t="s">
        <v>26</v>
      </c>
      <c r="B33" s="351" t="s">
        <v>87</v>
      </c>
      <c r="C33" s="389">
        <f t="shared" ref="C33:L33" si="4">C24+C26+C27+C28+C31+C32</f>
        <v>72274000</v>
      </c>
      <c r="D33" s="389">
        <f t="shared" si="4"/>
        <v>61879000</v>
      </c>
      <c r="E33" s="389">
        <f>E24+E26+E27+E28+E31+E32</f>
        <v>62055954</v>
      </c>
      <c r="F33" s="389">
        <f t="shared" si="4"/>
        <v>0</v>
      </c>
      <c r="G33" s="388">
        <f t="shared" si="4"/>
        <v>0</v>
      </c>
      <c r="H33" s="389">
        <f t="shared" si="4"/>
        <v>0</v>
      </c>
      <c r="I33" s="389">
        <f t="shared" si="4"/>
        <v>0</v>
      </c>
      <c r="J33" s="389">
        <f t="shared" si="4"/>
        <v>0</v>
      </c>
      <c r="K33" s="389">
        <f t="shared" si="4"/>
        <v>0</v>
      </c>
      <c r="L33" s="389">
        <f t="shared" si="4"/>
        <v>0</v>
      </c>
      <c r="M33" s="391">
        <f t="shared" si="3"/>
        <v>72274000</v>
      </c>
      <c r="N33" s="391">
        <f t="shared" si="3"/>
        <v>61879000</v>
      </c>
      <c r="O33" s="391">
        <f>E33+I33+L33</f>
        <v>62055954</v>
      </c>
    </row>
    <row r="34" spans="1:15" x14ac:dyDescent="0.25">
      <c r="A34" s="398" t="s">
        <v>27</v>
      </c>
      <c r="B34" s="353" t="s">
        <v>88</v>
      </c>
      <c r="C34" s="400">
        <f t="shared" ref="C34:L34" si="5">C23+C33</f>
        <v>72754000</v>
      </c>
      <c r="D34" s="400">
        <f t="shared" si="5"/>
        <v>62359000</v>
      </c>
      <c r="E34" s="400">
        <f t="shared" si="5"/>
        <v>62535954</v>
      </c>
      <c r="F34" s="400">
        <f t="shared" si="5"/>
        <v>0</v>
      </c>
      <c r="G34" s="399">
        <f t="shared" si="5"/>
        <v>0</v>
      </c>
      <c r="H34" s="400">
        <f t="shared" si="5"/>
        <v>0</v>
      </c>
      <c r="I34" s="400">
        <f t="shared" si="5"/>
        <v>0</v>
      </c>
      <c r="J34" s="400">
        <f t="shared" si="5"/>
        <v>0</v>
      </c>
      <c r="K34" s="400">
        <f t="shared" si="5"/>
        <v>0</v>
      </c>
      <c r="L34" s="400">
        <f t="shared" si="5"/>
        <v>0</v>
      </c>
      <c r="M34" s="402">
        <f t="shared" si="3"/>
        <v>72754000</v>
      </c>
      <c r="N34" s="402">
        <f t="shared" si="3"/>
        <v>62359000</v>
      </c>
      <c r="O34" s="402">
        <f>E34+I34+L34</f>
        <v>62535954</v>
      </c>
    </row>
    <row r="35" spans="1:15" x14ac:dyDescent="0.25">
      <c r="A35" s="403"/>
      <c r="B35" s="362"/>
      <c r="C35" s="405"/>
      <c r="D35" s="405"/>
      <c r="E35" s="405"/>
      <c r="F35" s="405"/>
      <c r="G35" s="404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375" t="s">
        <v>5</v>
      </c>
      <c r="C36" s="416"/>
      <c r="D36" s="416"/>
      <c r="E36" s="416"/>
      <c r="F36" s="416"/>
      <c r="G36" s="414"/>
      <c r="H36" s="416"/>
      <c r="I36" s="416"/>
      <c r="J36" s="416"/>
      <c r="L36" s="416"/>
      <c r="M36" s="796" t="s">
        <v>339</v>
      </c>
      <c r="N36" s="411"/>
      <c r="O36" s="411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89">
        <f>C39+C40+C41+C42+C43+C48</f>
        <v>71170000</v>
      </c>
      <c r="D38" s="389">
        <f>D39+D40+D41+D42+D43+D48</f>
        <v>60775000</v>
      </c>
      <c r="E38" s="389">
        <f>E39+E40+E41+E42+E43+E48</f>
        <v>60775000</v>
      </c>
      <c r="F38" s="392">
        <f>F39+F40+F41+F42+F43+F48</f>
        <v>0</v>
      </c>
      <c r="G38" s="422">
        <v>0</v>
      </c>
      <c r="H38" s="392">
        <f>H39+H40+H41+H42+H43+H48</f>
        <v>0</v>
      </c>
      <c r="I38" s="392">
        <f>I39+I40+I41+I42+I43+I48</f>
        <v>0</v>
      </c>
      <c r="J38" s="392">
        <f>J39+J40+J41+J42+J43+J48</f>
        <v>0</v>
      </c>
      <c r="K38" s="392">
        <f>K39+K40+K41+K42+K43+K48</f>
        <v>0</v>
      </c>
      <c r="L38" s="392">
        <f>L39+L40+L41+L42+L43+L48</f>
        <v>0</v>
      </c>
      <c r="M38" s="391">
        <f t="shared" ref="M38:N43" si="6">C38+G38+K38</f>
        <v>71170000</v>
      </c>
      <c r="N38" s="391">
        <f t="shared" si="6"/>
        <v>60775000</v>
      </c>
      <c r="O38" s="391">
        <f t="shared" ref="O38:O43" si="7">E38+I38+L38</f>
        <v>60775000</v>
      </c>
    </row>
    <row r="39" spans="1:15" x14ac:dyDescent="0.25">
      <c r="A39" s="425" t="s">
        <v>53</v>
      </c>
      <c r="B39" s="349" t="s">
        <v>6</v>
      </c>
      <c r="C39" s="389">
        <v>51088000</v>
      </c>
      <c r="D39" s="389">
        <f>+C39-9000000</f>
        <v>42088000</v>
      </c>
      <c r="E39" s="389">
        <f>+D39</f>
        <v>42088000</v>
      </c>
      <c r="F39" s="389">
        <v>0</v>
      </c>
      <c r="G39" s="388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6"/>
        <v>51088000</v>
      </c>
      <c r="N39" s="391">
        <f t="shared" si="6"/>
        <v>42088000</v>
      </c>
      <c r="O39" s="391">
        <f t="shared" si="7"/>
        <v>42088000</v>
      </c>
    </row>
    <row r="40" spans="1:15" x14ac:dyDescent="0.25">
      <c r="A40" s="425" t="s">
        <v>54</v>
      </c>
      <c r="B40" s="349" t="s">
        <v>94</v>
      </c>
      <c r="C40" s="389">
        <v>9092000</v>
      </c>
      <c r="D40" s="389">
        <f>+C40-1395000</f>
        <v>7697000</v>
      </c>
      <c r="E40" s="389">
        <f>+D40</f>
        <v>7697000</v>
      </c>
      <c r="F40" s="389">
        <v>0</v>
      </c>
      <c r="G40" s="388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  <c r="M40" s="391">
        <f t="shared" si="6"/>
        <v>9092000</v>
      </c>
      <c r="N40" s="391">
        <f t="shared" si="6"/>
        <v>7697000</v>
      </c>
      <c r="O40" s="391">
        <f t="shared" si="7"/>
        <v>7697000</v>
      </c>
    </row>
    <row r="41" spans="1:15" x14ac:dyDescent="0.25">
      <c r="A41" s="425" t="s">
        <v>55</v>
      </c>
      <c r="B41" s="349" t="s">
        <v>95</v>
      </c>
      <c r="C41" s="389">
        <v>10990000</v>
      </c>
      <c r="D41" s="389">
        <f>+C41</f>
        <v>10990000</v>
      </c>
      <c r="E41" s="389">
        <f>+D41</f>
        <v>10990000</v>
      </c>
      <c r="F41" s="389">
        <v>0</v>
      </c>
      <c r="G41" s="388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6"/>
        <v>10990000</v>
      </c>
      <c r="N41" s="391">
        <f t="shared" si="6"/>
        <v>10990000</v>
      </c>
      <c r="O41" s="391">
        <f t="shared" si="7"/>
        <v>10990000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389">
        <v>0</v>
      </c>
      <c r="G42" s="388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6"/>
        <v>0</v>
      </c>
      <c r="N42" s="391">
        <f t="shared" si="6"/>
        <v>0</v>
      </c>
      <c r="O42" s="391">
        <f t="shared" si="7"/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73"/>
      <c r="E43" s="373"/>
      <c r="F43" s="389">
        <v>0</v>
      </c>
      <c r="G43" s="388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6"/>
        <v>0</v>
      </c>
      <c r="N43" s="391">
        <f t="shared" si="6"/>
        <v>0</v>
      </c>
      <c r="O43" s="391">
        <f t="shared" si="7"/>
        <v>0</v>
      </c>
    </row>
    <row r="44" spans="1:15" x14ac:dyDescent="0.25">
      <c r="A44" s="430" t="s">
        <v>91</v>
      </c>
      <c r="B44" s="349" t="s">
        <v>330</v>
      </c>
      <c r="C44" s="389"/>
      <c r="D44" s="373"/>
      <c r="E44" s="373"/>
      <c r="F44" s="389"/>
      <c r="G44" s="388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73"/>
      <c r="E45" s="373"/>
      <c r="F45" s="389"/>
      <c r="G45" s="388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349" t="s">
        <v>98</v>
      </c>
      <c r="C46" s="389"/>
      <c r="D46" s="373"/>
      <c r="E46" s="373"/>
      <c r="F46" s="389"/>
      <c r="G46" s="388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349" t="s">
        <v>99</v>
      </c>
      <c r="C47" s="389"/>
      <c r="D47" s="373"/>
      <c r="E47" s="373"/>
      <c r="F47" s="389"/>
      <c r="G47" s="388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>
        <v>0</v>
      </c>
      <c r="G48" s="388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D48+H48+L48</f>
        <v>0</v>
      </c>
      <c r="O48" s="391">
        <f>E48+I48+L48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8"/>
      <c r="H49" s="389"/>
      <c r="I49" s="389"/>
      <c r="J49" s="389"/>
      <c r="K49" s="389"/>
      <c r="L49" s="389"/>
      <c r="M49" s="391"/>
      <c r="N49" s="391"/>
      <c r="O49" s="391"/>
    </row>
    <row r="50" spans="1:15" x14ac:dyDescent="0.25">
      <c r="A50" s="431" t="s">
        <v>12</v>
      </c>
      <c r="B50" s="350" t="s">
        <v>100</v>
      </c>
      <c r="C50" s="389">
        <f>+C51+C52</f>
        <v>1584000</v>
      </c>
      <c r="D50" s="389">
        <f>+D51+D52</f>
        <v>1584000</v>
      </c>
      <c r="E50" s="389">
        <f>+E51+E52</f>
        <v>1760954</v>
      </c>
      <c r="F50" s="389">
        <f t="shared" ref="F50:L50" si="8">F51+F52+F53</f>
        <v>0</v>
      </c>
      <c r="G50" s="389">
        <f t="shared" si="8"/>
        <v>0</v>
      </c>
      <c r="H50" s="389">
        <f t="shared" si="8"/>
        <v>0</v>
      </c>
      <c r="I50" s="389">
        <f t="shared" si="8"/>
        <v>0</v>
      </c>
      <c r="J50" s="389">
        <f t="shared" si="8"/>
        <v>0</v>
      </c>
      <c r="K50" s="389">
        <f t="shared" si="8"/>
        <v>0</v>
      </c>
      <c r="L50" s="389">
        <f t="shared" si="8"/>
        <v>0</v>
      </c>
      <c r="M50" s="391">
        <f t="shared" ref="M50:N55" si="9">C50+G50+K50</f>
        <v>1584000</v>
      </c>
      <c r="N50" s="391">
        <f t="shared" si="9"/>
        <v>1584000</v>
      </c>
      <c r="O50" s="391">
        <f t="shared" ref="O50:O55" si="10">E50+I50+L50</f>
        <v>1760954</v>
      </c>
    </row>
    <row r="51" spans="1:15" x14ac:dyDescent="0.25">
      <c r="A51" s="430" t="s">
        <v>49</v>
      </c>
      <c r="B51" s="349" t="s">
        <v>9</v>
      </c>
      <c r="C51" s="389">
        <v>60000</v>
      </c>
      <c r="D51" s="389">
        <f>+C51</f>
        <v>60000</v>
      </c>
      <c r="E51" s="389">
        <f>+D51+176954</f>
        <v>236954</v>
      </c>
      <c r="F51" s="389">
        <v>0</v>
      </c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9"/>
        <v>60000</v>
      </c>
      <c r="N51" s="391">
        <f t="shared" si="9"/>
        <v>60000</v>
      </c>
      <c r="O51" s="391">
        <f t="shared" si="10"/>
        <v>236954</v>
      </c>
    </row>
    <row r="52" spans="1:15" x14ac:dyDescent="0.25">
      <c r="A52" s="430" t="s">
        <v>50</v>
      </c>
      <c r="B52" s="349" t="s">
        <v>10</v>
      </c>
      <c r="C52" s="389">
        <v>1524000</v>
      </c>
      <c r="D52" s="389">
        <f>+C52</f>
        <v>1524000</v>
      </c>
      <c r="E52" s="389">
        <f>+D52</f>
        <v>1524000</v>
      </c>
      <c r="F52" s="389">
        <v>0</v>
      </c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9"/>
        <v>1524000</v>
      </c>
      <c r="N52" s="391">
        <f t="shared" si="9"/>
        <v>1524000</v>
      </c>
      <c r="O52" s="391">
        <f t="shared" si="10"/>
        <v>1524000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>
        <v>0</v>
      </c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9"/>
        <v>0</v>
      </c>
      <c r="N53" s="391">
        <f t="shared" si="9"/>
        <v>0</v>
      </c>
      <c r="O53" s="391">
        <f t="shared" si="10"/>
        <v>0</v>
      </c>
    </row>
    <row r="54" spans="1:15" x14ac:dyDescent="0.25">
      <c r="A54" s="433" t="s">
        <v>13</v>
      </c>
      <c r="B54" s="351" t="s">
        <v>102</v>
      </c>
      <c r="C54" s="389">
        <f t="shared" ref="C54:L54" si="11">C38+C50</f>
        <v>72754000</v>
      </c>
      <c r="D54" s="389">
        <f t="shared" si="11"/>
        <v>62359000</v>
      </c>
      <c r="E54" s="389">
        <f t="shared" si="11"/>
        <v>62535954</v>
      </c>
      <c r="F54" s="389">
        <f t="shared" si="11"/>
        <v>0</v>
      </c>
      <c r="G54" s="389">
        <f t="shared" si="11"/>
        <v>0</v>
      </c>
      <c r="H54" s="389">
        <f t="shared" si="11"/>
        <v>0</v>
      </c>
      <c r="I54" s="389">
        <f t="shared" si="11"/>
        <v>0</v>
      </c>
      <c r="J54" s="389">
        <f t="shared" si="11"/>
        <v>0</v>
      </c>
      <c r="K54" s="389">
        <f t="shared" si="11"/>
        <v>0</v>
      </c>
      <c r="L54" s="389">
        <f t="shared" si="11"/>
        <v>0</v>
      </c>
      <c r="M54" s="391">
        <f t="shared" si="9"/>
        <v>72754000</v>
      </c>
      <c r="N54" s="391">
        <f t="shared" si="9"/>
        <v>62359000</v>
      </c>
      <c r="O54" s="391">
        <f t="shared" si="10"/>
        <v>62535954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>
        <v>0</v>
      </c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9"/>
        <v>0</v>
      </c>
      <c r="N55" s="391">
        <f t="shared" si="9"/>
        <v>0</v>
      </c>
      <c r="O55" s="391">
        <f t="shared" si="10"/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>
        <v>0</v>
      </c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 t="shared" ref="M57:N59" si="12">C57+G57+K57</f>
        <v>0</v>
      </c>
      <c r="N57" s="391">
        <f t="shared" si="12"/>
        <v>0</v>
      </c>
      <c r="O57" s="391">
        <f>E57+I57+L57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>
        <v>0</v>
      </c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 t="shared" si="12"/>
        <v>0</v>
      </c>
      <c r="N58" s="391">
        <f t="shared" si="12"/>
        <v>0</v>
      </c>
      <c r="O58" s="391">
        <f>E58+I58+L58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>
        <v>0</v>
      </c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 t="shared" si="12"/>
        <v>0</v>
      </c>
      <c r="N59" s="391">
        <f t="shared" si="12"/>
        <v>0</v>
      </c>
      <c r="O59" s="391">
        <f>E59+I59+L59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>
        <v>0</v>
      </c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 t="shared" ref="M61:N63" si="13">C61+G61+K61</f>
        <v>0</v>
      </c>
      <c r="N61" s="391">
        <f t="shared" si="13"/>
        <v>0</v>
      </c>
      <c r="O61" s="391">
        <f>E61+I61+L61</f>
        <v>0</v>
      </c>
    </row>
    <row r="62" spans="1:15" x14ac:dyDescent="0.25">
      <c r="A62" s="396" t="s">
        <v>19</v>
      </c>
      <c r="B62" s="351" t="s">
        <v>106</v>
      </c>
      <c r="C62" s="389">
        <f t="shared" ref="C62:L62" si="14">C55+C57+C58+C61</f>
        <v>0</v>
      </c>
      <c r="D62" s="389">
        <f t="shared" si="14"/>
        <v>0</v>
      </c>
      <c r="E62" s="389">
        <f t="shared" si="14"/>
        <v>0</v>
      </c>
      <c r="F62" s="389">
        <f t="shared" si="14"/>
        <v>0</v>
      </c>
      <c r="G62" s="389">
        <f t="shared" si="14"/>
        <v>0</v>
      </c>
      <c r="H62" s="389">
        <f t="shared" si="14"/>
        <v>0</v>
      </c>
      <c r="I62" s="389">
        <f t="shared" si="14"/>
        <v>0</v>
      </c>
      <c r="J62" s="389">
        <f t="shared" si="14"/>
        <v>0</v>
      </c>
      <c r="K62" s="389">
        <f t="shared" si="14"/>
        <v>0</v>
      </c>
      <c r="L62" s="389">
        <f t="shared" si="14"/>
        <v>0</v>
      </c>
      <c r="M62" s="391">
        <f t="shared" si="13"/>
        <v>0</v>
      </c>
      <c r="N62" s="391">
        <f t="shared" si="13"/>
        <v>0</v>
      </c>
      <c r="O62" s="391">
        <f>E62+I62+L62</f>
        <v>0</v>
      </c>
    </row>
    <row r="63" spans="1:15" x14ac:dyDescent="0.25">
      <c r="A63" s="613" t="s">
        <v>20</v>
      </c>
      <c r="B63" s="614" t="s">
        <v>107</v>
      </c>
      <c r="C63" s="389">
        <f t="shared" ref="C63:L63" si="15">C54+C62</f>
        <v>72754000</v>
      </c>
      <c r="D63" s="389">
        <f t="shared" si="15"/>
        <v>62359000</v>
      </c>
      <c r="E63" s="389">
        <f t="shared" si="15"/>
        <v>62535954</v>
      </c>
      <c r="F63" s="389">
        <f t="shared" si="15"/>
        <v>0</v>
      </c>
      <c r="G63" s="389">
        <f t="shared" si="15"/>
        <v>0</v>
      </c>
      <c r="H63" s="389">
        <f t="shared" si="15"/>
        <v>0</v>
      </c>
      <c r="I63" s="389">
        <f t="shared" si="15"/>
        <v>0</v>
      </c>
      <c r="J63" s="389">
        <f t="shared" si="15"/>
        <v>0</v>
      </c>
      <c r="K63" s="389">
        <f t="shared" si="15"/>
        <v>0</v>
      </c>
      <c r="L63" s="389">
        <f t="shared" si="15"/>
        <v>0</v>
      </c>
      <c r="M63" s="391">
        <f t="shared" si="13"/>
        <v>72754000</v>
      </c>
      <c r="N63" s="391">
        <f t="shared" si="13"/>
        <v>62359000</v>
      </c>
      <c r="O63" s="391">
        <f>E63+I63+L63</f>
        <v>62535954</v>
      </c>
    </row>
    <row r="64" spans="1:15" x14ac:dyDescent="0.25">
      <c r="A64" s="436"/>
      <c r="B64" s="436"/>
      <c r="C64" s="436">
        <f t="shared" ref="C64:O64" si="16">+C63-C34</f>
        <v>0</v>
      </c>
      <c r="D64" s="436">
        <f t="shared" si="16"/>
        <v>0</v>
      </c>
      <c r="E64" s="436">
        <f>+E63-E34</f>
        <v>0</v>
      </c>
      <c r="F64" s="436">
        <f t="shared" si="16"/>
        <v>0</v>
      </c>
      <c r="G64" s="436">
        <f t="shared" si="16"/>
        <v>0</v>
      </c>
      <c r="H64" s="436">
        <f t="shared" si="16"/>
        <v>0</v>
      </c>
      <c r="I64" s="436">
        <f t="shared" si="16"/>
        <v>0</v>
      </c>
      <c r="J64" s="436">
        <f t="shared" si="16"/>
        <v>0</v>
      </c>
      <c r="K64" s="436">
        <f t="shared" si="16"/>
        <v>0</v>
      </c>
      <c r="L64" s="436">
        <f t="shared" si="16"/>
        <v>0</v>
      </c>
      <c r="M64" s="436">
        <f t="shared" si="16"/>
        <v>0</v>
      </c>
      <c r="N64" s="436">
        <f t="shared" si="16"/>
        <v>0</v>
      </c>
      <c r="O64" s="436">
        <f t="shared" si="16"/>
        <v>0</v>
      </c>
    </row>
    <row r="65" spans="1:15" x14ac:dyDescent="0.25">
      <c r="A65" s="435"/>
      <c r="B65" s="364"/>
      <c r="C65" s="394"/>
      <c r="D65" s="394"/>
      <c r="E65" s="394"/>
      <c r="F65" s="394"/>
      <c r="G65" s="394"/>
      <c r="H65" s="394"/>
      <c r="I65" s="394"/>
      <c r="J65" s="394"/>
      <c r="K65" s="394"/>
      <c r="L65" s="438"/>
      <c r="M65" s="438"/>
      <c r="N65" s="439"/>
      <c r="O65" s="439"/>
    </row>
    <row r="66" spans="1:15" x14ac:dyDescent="0.25">
      <c r="A66" s="442"/>
      <c r="B66" s="364"/>
      <c r="C66" s="393"/>
      <c r="D66" s="393"/>
      <c r="E66" s="393"/>
      <c r="F66" s="393"/>
      <c r="G66" s="393"/>
      <c r="H66" s="393"/>
      <c r="I66" s="393"/>
      <c r="J66" s="393"/>
      <c r="K66" s="393"/>
      <c r="L66" s="438"/>
      <c r="M66" s="438"/>
      <c r="N66" s="439"/>
      <c r="O66" s="439"/>
    </row>
    <row r="67" spans="1:15" x14ac:dyDescent="0.25">
      <c r="A67" s="443"/>
      <c r="B67" s="365"/>
      <c r="C67" s="397"/>
      <c r="E67" s="397"/>
      <c r="F67" s="397"/>
      <c r="G67" s="441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366"/>
      <c r="C68" s="397"/>
      <c r="E68" s="397"/>
      <c r="F68" s="397"/>
      <c r="G68" s="446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77"/>
    </row>
    <row r="70" spans="1:15" x14ac:dyDescent="0.25">
      <c r="A70" s="449"/>
      <c r="B70" s="364"/>
    </row>
    <row r="71" spans="1:15" x14ac:dyDescent="0.25">
      <c r="A71" s="449"/>
      <c r="B71" s="367"/>
      <c r="G71" s="394"/>
    </row>
    <row r="72" spans="1:15" x14ac:dyDescent="0.25">
      <c r="A72" s="449"/>
      <c r="B72" s="367"/>
      <c r="G72" s="394"/>
    </row>
    <row r="73" spans="1:15" x14ac:dyDescent="0.25">
      <c r="A73" s="449"/>
      <c r="B73" s="368"/>
      <c r="G73" s="394"/>
    </row>
    <row r="74" spans="1:15" x14ac:dyDescent="0.25">
      <c r="A74" s="443"/>
      <c r="B74" s="368"/>
      <c r="G74" s="397"/>
    </row>
    <row r="75" spans="1:15" x14ac:dyDescent="0.25">
      <c r="B75" s="367"/>
      <c r="G75" s="394"/>
    </row>
    <row r="76" spans="1:15" x14ac:dyDescent="0.25">
      <c r="B76" s="367"/>
      <c r="G76" s="394"/>
    </row>
    <row r="77" spans="1:15" x14ac:dyDescent="0.25">
      <c r="B77" s="367"/>
      <c r="G77" s="394"/>
    </row>
    <row r="78" spans="1:15" x14ac:dyDescent="0.25">
      <c r="B78" s="367"/>
      <c r="G78" s="394"/>
    </row>
    <row r="79" spans="1:15" x14ac:dyDescent="0.25">
      <c r="B79" s="367"/>
      <c r="G79" s="394"/>
    </row>
    <row r="80" spans="1:15" x14ac:dyDescent="0.25">
      <c r="B80" s="368"/>
      <c r="G80" s="394"/>
    </row>
    <row r="81" spans="2:7" x14ac:dyDescent="0.25">
      <c r="B81" s="367"/>
      <c r="G81" s="394"/>
    </row>
    <row r="82" spans="2:7" x14ac:dyDescent="0.25">
      <c r="B82" s="367"/>
      <c r="G82" s="394"/>
    </row>
    <row r="83" spans="2:7" x14ac:dyDescent="0.25">
      <c r="B83" s="367"/>
      <c r="G83" s="394"/>
    </row>
    <row r="84" spans="2:7" x14ac:dyDescent="0.25">
      <c r="B84" s="368"/>
      <c r="G84" s="394"/>
    </row>
    <row r="85" spans="2:7" x14ac:dyDescent="0.25">
      <c r="B85" s="364"/>
      <c r="G85" s="394"/>
    </row>
    <row r="86" spans="2:7" x14ac:dyDescent="0.25">
      <c r="B86" s="364"/>
      <c r="G86" s="441"/>
    </row>
    <row r="87" spans="2:7" x14ac:dyDescent="0.25">
      <c r="B87" s="364"/>
      <c r="G87" s="441"/>
    </row>
    <row r="88" spans="2:7" x14ac:dyDescent="0.25">
      <c r="B88" s="378"/>
      <c r="G88" s="397"/>
    </row>
    <row r="89" spans="2:7" x14ac:dyDescent="0.25">
      <c r="G89" s="458"/>
    </row>
    <row r="90" spans="2:7" x14ac:dyDescent="0.25">
      <c r="G90" s="458"/>
    </row>
    <row r="91" spans="2:7" x14ac:dyDescent="0.25">
      <c r="B91" s="364"/>
      <c r="G91" s="458"/>
    </row>
    <row r="92" spans="2:7" x14ac:dyDescent="0.25">
      <c r="B92" s="369"/>
      <c r="G92" s="458"/>
    </row>
    <row r="93" spans="2:7" x14ac:dyDescent="0.25">
      <c r="B93" s="368"/>
      <c r="G93" s="393"/>
    </row>
    <row r="94" spans="2:7" x14ac:dyDescent="0.25">
      <c r="B94" s="367"/>
      <c r="G94" s="394"/>
    </row>
    <row r="95" spans="2:7" x14ac:dyDescent="0.25">
      <c r="B95" s="367"/>
      <c r="G95" s="394"/>
    </row>
    <row r="96" spans="2:7" x14ac:dyDescent="0.25">
      <c r="B96" s="367"/>
      <c r="G96" s="394"/>
    </row>
    <row r="97" spans="2:7" x14ac:dyDescent="0.25">
      <c r="B97" s="367"/>
      <c r="G97" s="394"/>
    </row>
    <row r="98" spans="2:7" x14ac:dyDescent="0.25">
      <c r="B98" s="367"/>
      <c r="G98" s="394"/>
    </row>
    <row r="99" spans="2:7" x14ac:dyDescent="0.25">
      <c r="B99" s="367"/>
      <c r="G99" s="394"/>
    </row>
    <row r="100" spans="2:7" x14ac:dyDescent="0.25">
      <c r="B100" s="367"/>
      <c r="G100" s="394"/>
    </row>
    <row r="101" spans="2:7" x14ac:dyDescent="0.25">
      <c r="B101" s="368"/>
      <c r="G101" s="394"/>
    </row>
    <row r="102" spans="2:7" x14ac:dyDescent="0.25">
      <c r="B102" s="368"/>
      <c r="G102" s="397"/>
    </row>
    <row r="103" spans="2:7" x14ac:dyDescent="0.25">
      <c r="B103" s="367"/>
      <c r="G103" s="394"/>
    </row>
    <row r="104" spans="2:7" x14ac:dyDescent="0.25">
      <c r="B104" s="367"/>
      <c r="G104" s="394"/>
    </row>
    <row r="105" spans="2:7" x14ac:dyDescent="0.25">
      <c r="B105" s="367"/>
      <c r="G105" s="394"/>
    </row>
    <row r="106" spans="2:7" x14ac:dyDescent="0.25">
      <c r="B106" s="367"/>
      <c r="G106" s="394"/>
    </row>
    <row r="107" spans="2:7" x14ac:dyDescent="0.25">
      <c r="B107" s="367"/>
      <c r="G107" s="394"/>
    </row>
    <row r="108" spans="2:7" x14ac:dyDescent="0.25">
      <c r="B108" s="368"/>
      <c r="G108" s="394"/>
    </row>
    <row r="109" spans="2:7" x14ac:dyDescent="0.25">
      <c r="B109" s="367"/>
      <c r="G109" s="394"/>
    </row>
    <row r="110" spans="2:7" x14ac:dyDescent="0.25">
      <c r="B110" s="367"/>
      <c r="G110" s="394"/>
    </row>
    <row r="111" spans="2:7" x14ac:dyDescent="0.25">
      <c r="B111" s="367"/>
      <c r="G111" s="394"/>
    </row>
    <row r="112" spans="2:7" x14ac:dyDescent="0.25">
      <c r="B112" s="368"/>
      <c r="G112" s="394"/>
    </row>
    <row r="113" spans="2:15" x14ac:dyDescent="0.25">
      <c r="B113" s="364"/>
      <c r="G113" s="394"/>
    </row>
    <row r="114" spans="2:15" x14ac:dyDescent="0.25">
      <c r="G114" s="458"/>
    </row>
    <row r="115" spans="2:15" x14ac:dyDescent="0.25">
      <c r="G115" s="458"/>
    </row>
    <row r="116" spans="2:15" x14ac:dyDescent="0.25">
      <c r="B116" s="364"/>
      <c r="G116" s="458"/>
    </row>
    <row r="117" spans="2:15" x14ac:dyDescent="0.25">
      <c r="B117" s="369"/>
      <c r="G117" s="458"/>
    </row>
    <row r="118" spans="2:15" x14ac:dyDescent="0.25">
      <c r="B118" s="368"/>
      <c r="G118" s="393"/>
    </row>
    <row r="119" spans="2:15" x14ac:dyDescent="0.25">
      <c r="B119" s="367"/>
      <c r="G119" s="394"/>
    </row>
    <row r="120" spans="2:15" x14ac:dyDescent="0.25">
      <c r="B120" s="367"/>
      <c r="G120" s="394"/>
    </row>
    <row r="121" spans="2:15" x14ac:dyDescent="0.25">
      <c r="B121" s="367"/>
      <c r="G121" s="394"/>
    </row>
    <row r="122" spans="2:15" x14ac:dyDescent="0.25">
      <c r="B122" s="367"/>
      <c r="G122" s="394"/>
    </row>
    <row r="123" spans="2:15" x14ac:dyDescent="0.25">
      <c r="B123" s="367"/>
      <c r="G123" s="394"/>
    </row>
    <row r="124" spans="2:15" x14ac:dyDescent="0.25">
      <c r="B124" s="367"/>
      <c r="G124" s="394"/>
    </row>
    <row r="125" spans="2:15" x14ac:dyDescent="0.25">
      <c r="B125" s="367"/>
      <c r="G125" s="394"/>
    </row>
    <row r="126" spans="2:15" x14ac:dyDescent="0.25">
      <c r="B126" s="368"/>
      <c r="G126" s="394"/>
    </row>
    <row r="127" spans="2:15" x14ac:dyDescent="0.25">
      <c r="B127" s="368"/>
      <c r="G127" s="397"/>
      <c r="N127" s="461"/>
      <c r="O127" s="461"/>
    </row>
    <row r="128" spans="2:15" x14ac:dyDescent="0.25">
      <c r="B128" s="367"/>
      <c r="G128" s="394"/>
      <c r="N128" s="381"/>
      <c r="O128" s="381"/>
    </row>
    <row r="129" spans="2:15" x14ac:dyDescent="0.25">
      <c r="B129" s="367"/>
      <c r="G129" s="394"/>
      <c r="N129" s="381"/>
      <c r="O129" s="381"/>
    </row>
    <row r="130" spans="2:15" x14ac:dyDescent="0.25">
      <c r="B130" s="367"/>
      <c r="G130" s="394"/>
      <c r="N130" s="381"/>
      <c r="O130" s="381"/>
    </row>
    <row r="131" spans="2:15" x14ac:dyDescent="0.25">
      <c r="B131" s="367"/>
      <c r="G131" s="394"/>
    </row>
    <row r="132" spans="2:15" x14ac:dyDescent="0.25">
      <c r="B132" s="367"/>
      <c r="G132" s="394"/>
    </row>
    <row r="133" spans="2:15" x14ac:dyDescent="0.25">
      <c r="B133" s="368"/>
      <c r="G133" s="394"/>
    </row>
    <row r="134" spans="2:15" x14ac:dyDescent="0.25">
      <c r="B134" s="367"/>
      <c r="G134" s="394"/>
    </row>
    <row r="135" spans="2:15" x14ac:dyDescent="0.25">
      <c r="B135" s="367"/>
      <c r="G135" s="394"/>
    </row>
    <row r="136" spans="2:15" x14ac:dyDescent="0.25">
      <c r="B136" s="367"/>
      <c r="G136" s="394"/>
    </row>
    <row r="137" spans="2:15" x14ac:dyDescent="0.25">
      <c r="B137" s="368"/>
      <c r="G137" s="394"/>
    </row>
    <row r="138" spans="2:15" x14ac:dyDescent="0.25">
      <c r="B138" s="364"/>
      <c r="G138" s="394"/>
    </row>
    <row r="139" spans="2:15" x14ac:dyDescent="0.25">
      <c r="B139" s="378"/>
      <c r="G139" s="397"/>
    </row>
    <row r="140" spans="2:15" x14ac:dyDescent="0.25">
      <c r="B140" s="378"/>
      <c r="G140" s="397"/>
    </row>
    <row r="141" spans="2:15" x14ac:dyDescent="0.25">
      <c r="B141" s="378"/>
      <c r="G141" s="397"/>
    </row>
    <row r="142" spans="2:15" x14ac:dyDescent="0.25">
      <c r="G142" s="458"/>
    </row>
    <row r="143" spans="2:15" x14ac:dyDescent="0.25">
      <c r="G143" s="458"/>
    </row>
    <row r="144" spans="2:15" x14ac:dyDescent="0.25">
      <c r="B144" s="364"/>
      <c r="G144" s="458"/>
    </row>
    <row r="145" spans="2:7" x14ac:dyDescent="0.25">
      <c r="B145" s="369"/>
      <c r="G145" s="458"/>
    </row>
    <row r="146" spans="2:7" x14ac:dyDescent="0.25">
      <c r="B146" s="368"/>
      <c r="G146" s="393"/>
    </row>
    <row r="147" spans="2:7" x14ac:dyDescent="0.25">
      <c r="B147" s="367"/>
      <c r="G147" s="394"/>
    </row>
    <row r="148" spans="2:7" x14ac:dyDescent="0.25">
      <c r="B148" s="367"/>
      <c r="G148" s="394"/>
    </row>
    <row r="149" spans="2:7" x14ac:dyDescent="0.25">
      <c r="B149" s="367"/>
      <c r="G149" s="394"/>
    </row>
    <row r="150" spans="2:7" x14ac:dyDescent="0.25">
      <c r="B150" s="367"/>
      <c r="G150" s="394"/>
    </row>
    <row r="151" spans="2:7" x14ac:dyDescent="0.25">
      <c r="B151" s="367"/>
      <c r="G151" s="394"/>
    </row>
    <row r="152" spans="2:7" x14ac:dyDescent="0.25">
      <c r="B152" s="367"/>
      <c r="G152" s="394"/>
    </row>
    <row r="153" spans="2:7" x14ac:dyDescent="0.25">
      <c r="B153" s="367"/>
      <c r="G153" s="394"/>
    </row>
    <row r="154" spans="2:7" x14ac:dyDescent="0.25">
      <c r="B154" s="368"/>
      <c r="G154" s="394"/>
    </row>
    <row r="155" spans="2:7" x14ac:dyDescent="0.25">
      <c r="B155" s="368"/>
      <c r="G155" s="397"/>
    </row>
    <row r="156" spans="2:7" x14ac:dyDescent="0.25">
      <c r="B156" s="367"/>
      <c r="G156" s="394"/>
    </row>
    <row r="157" spans="2:7" x14ac:dyDescent="0.25">
      <c r="B157" s="367"/>
      <c r="G157" s="394"/>
    </row>
    <row r="158" spans="2:7" x14ac:dyDescent="0.25">
      <c r="B158" s="367"/>
      <c r="G158" s="394"/>
    </row>
    <row r="159" spans="2:7" x14ac:dyDescent="0.25">
      <c r="B159" s="367"/>
      <c r="G159" s="394"/>
    </row>
    <row r="160" spans="2:7" x14ac:dyDescent="0.25">
      <c r="B160" s="367"/>
      <c r="G160" s="394"/>
    </row>
    <row r="161" spans="2:7" x14ac:dyDescent="0.25">
      <c r="B161" s="368"/>
      <c r="G161" s="394"/>
    </row>
    <row r="162" spans="2:7" x14ac:dyDescent="0.25">
      <c r="B162" s="367"/>
      <c r="G162" s="394"/>
    </row>
    <row r="163" spans="2:7" x14ac:dyDescent="0.25">
      <c r="B163" s="367"/>
      <c r="G163" s="394"/>
    </row>
    <row r="164" spans="2:7" x14ac:dyDescent="0.25">
      <c r="B164" s="367"/>
      <c r="G164" s="394"/>
    </row>
    <row r="165" spans="2:7" x14ac:dyDescent="0.25">
      <c r="B165" s="368"/>
      <c r="G165" s="394"/>
    </row>
    <row r="166" spans="2:7" x14ac:dyDescent="0.25">
      <c r="B166" s="364"/>
      <c r="G166" s="394"/>
    </row>
    <row r="167" spans="2:7" x14ac:dyDescent="0.25">
      <c r="G167" s="458"/>
    </row>
    <row r="168" spans="2:7" x14ac:dyDescent="0.25">
      <c r="G168" s="458"/>
    </row>
    <row r="169" spans="2:7" x14ac:dyDescent="0.25">
      <c r="B169" s="364"/>
      <c r="G169" s="458"/>
    </row>
    <row r="170" spans="2:7" x14ac:dyDescent="0.25">
      <c r="B170" s="369"/>
      <c r="G170" s="458"/>
    </row>
    <row r="171" spans="2:7" x14ac:dyDescent="0.25">
      <c r="B171" s="368"/>
      <c r="G171" s="393"/>
    </row>
    <row r="172" spans="2:7" x14ac:dyDescent="0.25">
      <c r="B172" s="367"/>
      <c r="G172" s="394"/>
    </row>
    <row r="173" spans="2:7" x14ac:dyDescent="0.25">
      <c r="B173" s="367"/>
      <c r="G173" s="394"/>
    </row>
    <row r="174" spans="2:7" x14ac:dyDescent="0.25">
      <c r="B174" s="367"/>
      <c r="G174" s="394"/>
    </row>
    <row r="175" spans="2:7" x14ac:dyDescent="0.25">
      <c r="B175" s="367"/>
      <c r="G175" s="394"/>
    </row>
    <row r="176" spans="2:7" x14ac:dyDescent="0.25">
      <c r="B176" s="367"/>
      <c r="G176" s="394"/>
    </row>
    <row r="177" spans="2:7" x14ac:dyDescent="0.25">
      <c r="B177" s="367"/>
      <c r="G177" s="394"/>
    </row>
    <row r="178" spans="2:7" x14ac:dyDescent="0.25">
      <c r="B178" s="367"/>
      <c r="G178" s="394"/>
    </row>
    <row r="179" spans="2:7" x14ac:dyDescent="0.25">
      <c r="B179" s="368"/>
      <c r="G179" s="394"/>
    </row>
    <row r="180" spans="2:7" x14ac:dyDescent="0.25">
      <c r="B180" s="368"/>
      <c r="G180" s="397"/>
    </row>
    <row r="181" spans="2:7" x14ac:dyDescent="0.25">
      <c r="B181" s="367"/>
      <c r="G181" s="394"/>
    </row>
    <row r="182" spans="2:7" x14ac:dyDescent="0.25">
      <c r="B182" s="367"/>
      <c r="G182" s="394"/>
    </row>
    <row r="183" spans="2:7" x14ac:dyDescent="0.25">
      <c r="B183" s="367"/>
      <c r="G183" s="394"/>
    </row>
    <row r="184" spans="2:7" x14ac:dyDescent="0.25">
      <c r="B184" s="367"/>
      <c r="G184" s="394"/>
    </row>
    <row r="185" spans="2:7" x14ac:dyDescent="0.25">
      <c r="B185" s="367"/>
      <c r="G185" s="394"/>
    </row>
    <row r="186" spans="2:7" x14ac:dyDescent="0.25">
      <c r="B186" s="368"/>
      <c r="G186" s="394"/>
    </row>
    <row r="187" spans="2:7" x14ac:dyDescent="0.25">
      <c r="B187" s="367"/>
      <c r="G187" s="394"/>
    </row>
    <row r="188" spans="2:7" x14ac:dyDescent="0.25">
      <c r="B188" s="367"/>
      <c r="G188" s="394"/>
    </row>
    <row r="189" spans="2:7" x14ac:dyDescent="0.25">
      <c r="B189" s="367"/>
      <c r="G189" s="394"/>
    </row>
    <row r="190" spans="2:7" x14ac:dyDescent="0.25">
      <c r="B190" s="368"/>
      <c r="G190" s="394"/>
    </row>
    <row r="191" spans="2:7" x14ac:dyDescent="0.25">
      <c r="B191" s="364"/>
      <c r="G191" s="394"/>
    </row>
    <row r="192" spans="2:7" x14ac:dyDescent="0.25">
      <c r="B192" s="378"/>
      <c r="G192" s="397"/>
    </row>
    <row r="193" spans="2:7" x14ac:dyDescent="0.25">
      <c r="B193" s="378"/>
      <c r="G193" s="397"/>
    </row>
  </sheetData>
  <mergeCells count="2">
    <mergeCell ref="A2:O2"/>
    <mergeCell ref="L1:O1"/>
  </mergeCells>
  <printOptions horizontalCentered="1"/>
  <pageMargins left="0.27" right="0.17" top="0.4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52.85546875" style="382" customWidth="1"/>
    <col min="3" max="3" width="10.5703125" style="382" customWidth="1"/>
    <col min="4" max="4" width="10.5703125" style="382" hidden="1" customWidth="1"/>
    <col min="5" max="5" width="10.5703125" style="382" customWidth="1"/>
    <col min="6" max="6" width="10.5703125" style="382" hidden="1" customWidth="1"/>
    <col min="7" max="7" width="10" style="382" customWidth="1"/>
    <col min="8" max="8" width="10" style="382" hidden="1" customWidth="1"/>
    <col min="9" max="9" width="10" style="382" customWidth="1"/>
    <col min="10" max="10" width="10" style="382" hidden="1" customWidth="1"/>
    <col min="11" max="11" width="8.85546875" style="382"/>
    <col min="12" max="12" width="9.140625" style="382" customWidth="1"/>
    <col min="13" max="13" width="10.28515625" style="382" customWidth="1"/>
    <col min="14" max="14" width="10.28515625" style="382" hidden="1" customWidth="1"/>
    <col min="15" max="15" width="10.28515625" style="382" customWidth="1"/>
  </cols>
  <sheetData>
    <row r="1" spans="1:15" ht="38.25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661</v>
      </c>
      <c r="M1" s="1086"/>
      <c r="N1" s="1086"/>
      <c r="O1" s="1086"/>
    </row>
    <row r="2" spans="1:15" ht="29.25" customHeight="1" x14ac:dyDescent="0.25">
      <c r="A2" s="1103" t="s">
        <v>660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K3" s="466" t="s">
        <v>32</v>
      </c>
      <c r="L3" s="466"/>
      <c r="M3" s="420"/>
      <c r="N3" s="46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D5+H5+L5</f>
        <v>0</v>
      </c>
      <c r="O5" s="391">
        <f>E5+I5+L5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>
        <v>0</v>
      </c>
      <c r="E6" s="389">
        <v>0</v>
      </c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D6+H6+L6</f>
        <v>0</v>
      </c>
      <c r="O6" s="391">
        <f>E6+I6+L6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D11+H11+L11</f>
        <v>0</v>
      </c>
      <c r="O11" s="391">
        <f>E11+I11+L11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D12+H12+L12</f>
        <v>0</v>
      </c>
      <c r="O12" s="391">
        <f>E12+I12+L12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2496000</v>
      </c>
      <c r="D19" s="389">
        <f>+C19</f>
        <v>2496000</v>
      </c>
      <c r="E19" s="389">
        <f>+D19</f>
        <v>2496000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N24" si="0">C19+G19+K19</f>
        <v>2496000</v>
      </c>
      <c r="N19" s="391">
        <f t="shared" si="0"/>
        <v>2496000</v>
      </c>
      <c r="O19" s="391">
        <f t="shared" ref="O19:O24" si="1">E19+I19+L19</f>
        <v>2496000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 t="shared" si="0"/>
        <v>0</v>
      </c>
      <c r="O20" s="391">
        <f t="shared" si="1"/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 t="shared" si="0"/>
        <v>0</v>
      </c>
      <c r="O21" s="391">
        <f t="shared" si="1"/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/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 t="shared" si="0"/>
        <v>0</v>
      </c>
      <c r="O22" s="391">
        <f t="shared" si="1"/>
        <v>0</v>
      </c>
    </row>
    <row r="23" spans="1:15" x14ac:dyDescent="0.25">
      <c r="A23" s="396" t="s">
        <v>19</v>
      </c>
      <c r="B23" s="351" t="s">
        <v>80</v>
      </c>
      <c r="C23" s="389">
        <f>C5+C6+C11+C12+C19+C20+C21+C22</f>
        <v>2496000</v>
      </c>
      <c r="D23" s="389">
        <f>D5+D6+D11+D12+D19+D20+D21+D22</f>
        <v>2496000</v>
      </c>
      <c r="E23" s="389">
        <f>E5+E6+E11+E12+E19+E20+E21+E22</f>
        <v>2496000</v>
      </c>
      <c r="F23" s="389"/>
      <c r="G23" s="389">
        <f t="shared" ref="G23:L23" si="2">G5+G6+G11+G12+G19+G20+G21+G22</f>
        <v>0</v>
      </c>
      <c r="H23" s="389">
        <f t="shared" si="2"/>
        <v>0</v>
      </c>
      <c r="I23" s="389">
        <f t="shared" si="2"/>
        <v>0</v>
      </c>
      <c r="J23" s="389">
        <f t="shared" si="2"/>
        <v>0</v>
      </c>
      <c r="K23" s="389">
        <f t="shared" si="2"/>
        <v>0</v>
      </c>
      <c r="L23" s="389">
        <f t="shared" si="2"/>
        <v>0</v>
      </c>
      <c r="M23" s="391">
        <f t="shared" si="0"/>
        <v>2496000</v>
      </c>
      <c r="N23" s="391">
        <f t="shared" si="0"/>
        <v>2496000</v>
      </c>
      <c r="O23" s="391">
        <f t="shared" si="1"/>
        <v>2496000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/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 t="shared" si="0"/>
        <v>0</v>
      </c>
      <c r="O24" s="391">
        <f t="shared" si="1"/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/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 t="shared" ref="M26:N29" si="3">C26+G26+K26</f>
        <v>0</v>
      </c>
      <c r="N26" s="391">
        <f t="shared" si="3"/>
        <v>0</v>
      </c>
      <c r="O26" s="391">
        <f>E26+I26+L26</f>
        <v>0</v>
      </c>
    </row>
    <row r="27" spans="1:15" x14ac:dyDescent="0.25">
      <c r="A27" s="387" t="s">
        <v>22</v>
      </c>
      <c r="B27" s="350" t="s">
        <v>152</v>
      </c>
      <c r="C27" s="389">
        <v>0</v>
      </c>
      <c r="D27" s="372">
        <v>0</v>
      </c>
      <c r="E27" s="372">
        <v>763600</v>
      </c>
      <c r="F27" s="372"/>
      <c r="G27" s="389">
        <v>0</v>
      </c>
      <c r="H27" s="389">
        <v>0</v>
      </c>
      <c r="I27" s="389">
        <v>0</v>
      </c>
      <c r="J27" s="389">
        <v>0</v>
      </c>
      <c r="K27" s="389">
        <v>0</v>
      </c>
      <c r="L27" s="389">
        <v>0</v>
      </c>
      <c r="M27" s="391">
        <f t="shared" si="3"/>
        <v>0</v>
      </c>
      <c r="N27" s="391">
        <f t="shared" si="3"/>
        <v>0</v>
      </c>
      <c r="O27" s="391">
        <f>E27+I27+L27</f>
        <v>763600</v>
      </c>
    </row>
    <row r="28" spans="1:15" x14ac:dyDescent="0.25">
      <c r="A28" s="395" t="s">
        <v>23</v>
      </c>
      <c r="B28" s="349" t="s">
        <v>83</v>
      </c>
      <c r="C28" s="389">
        <f>+C29</f>
        <v>151449000</v>
      </c>
      <c r="D28" s="389">
        <f>+D29</f>
        <v>145162500</v>
      </c>
      <c r="E28" s="389">
        <f>+D28</f>
        <v>145162500</v>
      </c>
      <c r="F28" s="389"/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 t="shared" si="3"/>
        <v>151449000</v>
      </c>
      <c r="N28" s="391">
        <f t="shared" si="3"/>
        <v>145162500</v>
      </c>
      <c r="O28" s="391">
        <f>E28+I28+L28</f>
        <v>145162500</v>
      </c>
    </row>
    <row r="29" spans="1:15" x14ac:dyDescent="0.25">
      <c r="A29" s="395" t="s">
        <v>114</v>
      </c>
      <c r="B29" s="349" t="s">
        <v>84</v>
      </c>
      <c r="C29" s="389">
        <v>151449000</v>
      </c>
      <c r="D29" s="389">
        <f>+C29-6286500</f>
        <v>145162500</v>
      </c>
      <c r="E29" s="389">
        <f>+D29</f>
        <v>145162500</v>
      </c>
      <c r="F29" s="389"/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 t="shared" si="3"/>
        <v>151449000</v>
      </c>
      <c r="N29" s="391">
        <f t="shared" si="3"/>
        <v>145162500</v>
      </c>
      <c r="O29" s="391">
        <f>E29+I29+L29</f>
        <v>145162500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/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 t="shared" ref="M31:N34" si="4">C31+G31+K31</f>
        <v>0</v>
      </c>
      <c r="N31" s="391">
        <f t="shared" si="4"/>
        <v>0</v>
      </c>
      <c r="O31" s="391">
        <f>E31+I31+L31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/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 t="shared" si="4"/>
        <v>0</v>
      </c>
      <c r="N32" s="391">
        <f t="shared" si="4"/>
        <v>0</v>
      </c>
      <c r="O32" s="391">
        <f>E32+I32+L32</f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151449000</v>
      </c>
      <c r="D33" s="389">
        <f>D24+D26+D27+D28+D31+D32</f>
        <v>145162500</v>
      </c>
      <c r="E33" s="389">
        <f>E24+E26+E27+E28+E31+E32</f>
        <v>145926100</v>
      </c>
      <c r="F33" s="389"/>
      <c r="G33" s="389">
        <f t="shared" ref="G33:L33" si="5">G24+G26+G27+G28+G31+G32</f>
        <v>0</v>
      </c>
      <c r="H33" s="389">
        <f t="shared" si="5"/>
        <v>0</v>
      </c>
      <c r="I33" s="389">
        <f t="shared" si="5"/>
        <v>0</v>
      </c>
      <c r="J33" s="389">
        <f t="shared" si="5"/>
        <v>0</v>
      </c>
      <c r="K33" s="389">
        <f t="shared" si="5"/>
        <v>0</v>
      </c>
      <c r="L33" s="389">
        <f t="shared" si="5"/>
        <v>0</v>
      </c>
      <c r="M33" s="391">
        <f t="shared" si="4"/>
        <v>151449000</v>
      </c>
      <c r="N33" s="391">
        <f t="shared" si="4"/>
        <v>145162500</v>
      </c>
      <c r="O33" s="391">
        <f>E33+I33+L33</f>
        <v>145926100</v>
      </c>
    </row>
    <row r="34" spans="1:15" x14ac:dyDescent="0.25">
      <c r="A34" s="613" t="s">
        <v>27</v>
      </c>
      <c r="B34" s="614" t="s">
        <v>88</v>
      </c>
      <c r="C34" s="389">
        <f>C23+C33</f>
        <v>153945000</v>
      </c>
      <c r="D34" s="389">
        <f>D23+D33</f>
        <v>147658500</v>
      </c>
      <c r="E34" s="389">
        <f>E23+E33</f>
        <v>148422100</v>
      </c>
      <c r="F34" s="389"/>
      <c r="G34" s="389">
        <f t="shared" ref="G34:L34" si="6">G23+G33</f>
        <v>0</v>
      </c>
      <c r="H34" s="389">
        <f t="shared" si="6"/>
        <v>0</v>
      </c>
      <c r="I34" s="389">
        <f t="shared" si="6"/>
        <v>0</v>
      </c>
      <c r="J34" s="389">
        <f t="shared" si="6"/>
        <v>0</v>
      </c>
      <c r="K34" s="389">
        <f t="shared" si="6"/>
        <v>0</v>
      </c>
      <c r="L34" s="389">
        <f t="shared" si="6"/>
        <v>0</v>
      </c>
      <c r="M34" s="391">
        <f t="shared" si="4"/>
        <v>153945000</v>
      </c>
      <c r="N34" s="402">
        <f t="shared" si="4"/>
        <v>147658500</v>
      </c>
      <c r="O34" s="402">
        <f>E34+I34+L34</f>
        <v>148422100</v>
      </c>
    </row>
    <row r="35" spans="1:15" x14ac:dyDescent="0.25">
      <c r="A35" s="403"/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418" t="s">
        <v>5</v>
      </c>
      <c r="C36" s="416"/>
      <c r="D36" s="416"/>
      <c r="E36" s="416"/>
      <c r="F36" s="416"/>
      <c r="G36" s="416"/>
      <c r="H36" s="416"/>
      <c r="I36" s="416"/>
      <c r="J36" s="416"/>
      <c r="K36" s="1101" t="s">
        <v>339</v>
      </c>
      <c r="L36" s="1101"/>
      <c r="M36" s="1102"/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89">
        <f>C39+C40+C41+C42+C43+C48</f>
        <v>151310000</v>
      </c>
      <c r="D38" s="389">
        <f>D39+D40+D41+D42+D43+D48</f>
        <v>145023500</v>
      </c>
      <c r="E38" s="389">
        <f>E39+E40+E41+E42+E43+E48</f>
        <v>145023500</v>
      </c>
      <c r="F38" s="389"/>
      <c r="G38" s="392">
        <f t="shared" ref="G38:L38" si="7">G39+G40+G41+G42+G43+G48</f>
        <v>0</v>
      </c>
      <c r="H38" s="392">
        <f t="shared" si="7"/>
        <v>0</v>
      </c>
      <c r="I38" s="392">
        <f t="shared" si="7"/>
        <v>0</v>
      </c>
      <c r="J38" s="392">
        <f t="shared" si="7"/>
        <v>0</v>
      </c>
      <c r="K38" s="392">
        <f t="shared" si="7"/>
        <v>0</v>
      </c>
      <c r="L38" s="392">
        <f t="shared" si="7"/>
        <v>0</v>
      </c>
      <c r="M38" s="391">
        <f t="shared" ref="M38:N43" si="8">C38+G38+K38</f>
        <v>151310000</v>
      </c>
      <c r="N38" s="391">
        <f t="shared" si="8"/>
        <v>145023500</v>
      </c>
      <c r="O38" s="391">
        <f t="shared" ref="O38:O43" si="9">E38+I38+L38</f>
        <v>145023500</v>
      </c>
    </row>
    <row r="39" spans="1:15" x14ac:dyDescent="0.25">
      <c r="A39" s="425" t="s">
        <v>53</v>
      </c>
      <c r="B39" s="349" t="s">
        <v>6</v>
      </c>
      <c r="C39" s="389">
        <v>105930000</v>
      </c>
      <c r="D39" s="389">
        <f>+C39-6286500</f>
        <v>99643500</v>
      </c>
      <c r="E39" s="389">
        <f>+D39</f>
        <v>99643500</v>
      </c>
      <c r="F39" s="389"/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8"/>
        <v>105930000</v>
      </c>
      <c r="N39" s="391">
        <f t="shared" si="8"/>
        <v>99643500</v>
      </c>
      <c r="O39" s="391">
        <f t="shared" si="9"/>
        <v>99643500</v>
      </c>
    </row>
    <row r="40" spans="1:15" x14ac:dyDescent="0.25">
      <c r="A40" s="425" t="s">
        <v>54</v>
      </c>
      <c r="B40" s="349" t="s">
        <v>94</v>
      </c>
      <c r="C40" s="389">
        <v>18751000</v>
      </c>
      <c r="D40" s="389">
        <f>+C40</f>
        <v>18751000</v>
      </c>
      <c r="E40" s="389">
        <f>+D40</f>
        <v>18751000</v>
      </c>
      <c r="F40" s="389"/>
      <c r="G40" s="389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  <c r="M40" s="391">
        <f t="shared" si="8"/>
        <v>18751000</v>
      </c>
      <c r="N40" s="391">
        <f t="shared" si="8"/>
        <v>18751000</v>
      </c>
      <c r="O40" s="391">
        <f t="shared" si="9"/>
        <v>18751000</v>
      </c>
    </row>
    <row r="41" spans="1:15" x14ac:dyDescent="0.25">
      <c r="A41" s="425" t="s">
        <v>55</v>
      </c>
      <c r="B41" s="349" t="s">
        <v>95</v>
      </c>
      <c r="C41" s="389">
        <v>26629000</v>
      </c>
      <c r="D41" s="389">
        <f>+C41</f>
        <v>26629000</v>
      </c>
      <c r="E41" s="389">
        <f>+D41</f>
        <v>26629000</v>
      </c>
      <c r="F41" s="389"/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8"/>
        <v>26629000</v>
      </c>
      <c r="N41" s="391">
        <f t="shared" si="8"/>
        <v>26629000</v>
      </c>
      <c r="O41" s="391">
        <f t="shared" si="9"/>
        <v>26629000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389"/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8"/>
        <v>0</v>
      </c>
      <c r="N42" s="391">
        <f t="shared" si="8"/>
        <v>0</v>
      </c>
      <c r="O42" s="391">
        <f t="shared" si="9"/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73"/>
      <c r="E43" s="373"/>
      <c r="F43" s="373"/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8"/>
        <v>0</v>
      </c>
      <c r="N43" s="391">
        <f t="shared" si="8"/>
        <v>0</v>
      </c>
      <c r="O43" s="391">
        <f t="shared" si="9"/>
        <v>0</v>
      </c>
    </row>
    <row r="44" spans="1:15" x14ac:dyDescent="0.25">
      <c r="A44" s="430" t="s">
        <v>91</v>
      </c>
      <c r="B44" s="349" t="s">
        <v>330</v>
      </c>
      <c r="C44" s="389"/>
      <c r="D44" s="373"/>
      <c r="E44" s="373"/>
      <c r="F44" s="373"/>
      <c r="G44" s="389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73"/>
      <c r="E45" s="373"/>
      <c r="F45" s="373"/>
      <c r="G45" s="389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432" t="s">
        <v>98</v>
      </c>
      <c r="C46" s="389"/>
      <c r="D46" s="373"/>
      <c r="E46" s="373"/>
      <c r="F46" s="373"/>
      <c r="G46" s="389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432" t="s">
        <v>99</v>
      </c>
      <c r="C47" s="389"/>
      <c r="D47" s="373"/>
      <c r="E47" s="373"/>
      <c r="F47" s="373"/>
      <c r="G47" s="389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/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D48+H48+L48</f>
        <v>0</v>
      </c>
      <c r="O48" s="391">
        <f>E48+I48+L48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391"/>
      <c r="O49" s="391"/>
    </row>
    <row r="50" spans="1:15" s="105" customFormat="1" x14ac:dyDescent="0.25">
      <c r="A50" s="431" t="s">
        <v>12</v>
      </c>
      <c r="B50" s="350" t="s">
        <v>100</v>
      </c>
      <c r="C50" s="391">
        <f>+C51+C52</f>
        <v>2635000</v>
      </c>
      <c r="D50" s="391">
        <f>+D51+D52</f>
        <v>2635000</v>
      </c>
      <c r="E50" s="391">
        <f>+E51+E52</f>
        <v>3398600</v>
      </c>
      <c r="F50" s="391"/>
      <c r="G50" s="391">
        <f t="shared" ref="G50:L50" si="10">G51+G52+G53</f>
        <v>0</v>
      </c>
      <c r="H50" s="391">
        <f t="shared" si="10"/>
        <v>0</v>
      </c>
      <c r="I50" s="391">
        <f t="shared" si="10"/>
        <v>0</v>
      </c>
      <c r="J50" s="391">
        <f t="shared" si="10"/>
        <v>0</v>
      </c>
      <c r="K50" s="391">
        <f t="shared" si="10"/>
        <v>0</v>
      </c>
      <c r="L50" s="391">
        <f t="shared" si="10"/>
        <v>0</v>
      </c>
      <c r="M50" s="391">
        <f t="shared" ref="M50:N55" si="11">C50+G50+K50</f>
        <v>2635000</v>
      </c>
      <c r="N50" s="391">
        <f t="shared" si="11"/>
        <v>2635000</v>
      </c>
      <c r="O50" s="391">
        <f t="shared" ref="O50:O55" si="12">E50+I50+L50</f>
        <v>3398600</v>
      </c>
    </row>
    <row r="51" spans="1:15" x14ac:dyDescent="0.25">
      <c r="A51" s="430" t="s">
        <v>49</v>
      </c>
      <c r="B51" s="349" t="s">
        <v>9</v>
      </c>
      <c r="C51" s="389">
        <v>635000</v>
      </c>
      <c r="D51" s="389">
        <f>+C51</f>
        <v>635000</v>
      </c>
      <c r="E51" s="389">
        <f>+D51+763600</f>
        <v>1398600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11"/>
        <v>635000</v>
      </c>
      <c r="N51" s="391">
        <f t="shared" si="11"/>
        <v>635000</v>
      </c>
      <c r="O51" s="391">
        <f t="shared" si="12"/>
        <v>1398600</v>
      </c>
    </row>
    <row r="52" spans="1:15" s="5" customFormat="1" x14ac:dyDescent="0.25">
      <c r="A52" s="430" t="s">
        <v>50</v>
      </c>
      <c r="B52" s="349" t="s">
        <v>10</v>
      </c>
      <c r="C52" s="389">
        <v>2000000</v>
      </c>
      <c r="D52" s="389">
        <f>+C52</f>
        <v>2000000</v>
      </c>
      <c r="E52" s="389">
        <f>+D52</f>
        <v>2000000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11"/>
        <v>2000000</v>
      </c>
      <c r="N52" s="391">
        <f t="shared" si="11"/>
        <v>2000000</v>
      </c>
      <c r="O52" s="391">
        <f t="shared" si="12"/>
        <v>2000000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11"/>
        <v>0</v>
      </c>
      <c r="N53" s="391">
        <f t="shared" si="11"/>
        <v>0</v>
      </c>
      <c r="O53" s="391">
        <f t="shared" si="12"/>
        <v>0</v>
      </c>
    </row>
    <row r="54" spans="1:15" x14ac:dyDescent="0.25">
      <c r="A54" s="433" t="s">
        <v>13</v>
      </c>
      <c r="B54" s="351" t="s">
        <v>102</v>
      </c>
      <c r="C54" s="389">
        <f>C38+C50</f>
        <v>153945000</v>
      </c>
      <c r="D54" s="389">
        <f>D38+D50</f>
        <v>147658500</v>
      </c>
      <c r="E54" s="389">
        <f>E38+E50</f>
        <v>148422100</v>
      </c>
      <c r="F54" s="389"/>
      <c r="G54" s="389">
        <f t="shared" ref="G54:L54" si="13">G38+G50</f>
        <v>0</v>
      </c>
      <c r="H54" s="389">
        <f t="shared" si="13"/>
        <v>0</v>
      </c>
      <c r="I54" s="389">
        <f t="shared" si="13"/>
        <v>0</v>
      </c>
      <c r="J54" s="389">
        <f t="shared" si="13"/>
        <v>0</v>
      </c>
      <c r="K54" s="389">
        <f t="shared" si="13"/>
        <v>0</v>
      </c>
      <c r="L54" s="389">
        <f t="shared" si="13"/>
        <v>0</v>
      </c>
      <c r="M54" s="391">
        <f t="shared" si="11"/>
        <v>153945000</v>
      </c>
      <c r="N54" s="391">
        <f t="shared" si="11"/>
        <v>147658500</v>
      </c>
      <c r="O54" s="391">
        <f t="shared" si="12"/>
        <v>148422100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11"/>
        <v>0</v>
      </c>
      <c r="N55" s="391">
        <f t="shared" si="11"/>
        <v>0</v>
      </c>
      <c r="O55" s="391">
        <f t="shared" si="12"/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 t="shared" ref="M57:N59" si="14">C57+G57+K57</f>
        <v>0</v>
      </c>
      <c r="N57" s="391">
        <f t="shared" si="14"/>
        <v>0</v>
      </c>
      <c r="O57" s="391">
        <f>E57+I57+L57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 t="shared" si="14"/>
        <v>0</v>
      </c>
      <c r="N58" s="391">
        <f t="shared" si="14"/>
        <v>0</v>
      </c>
      <c r="O58" s="391">
        <f>E58+I58+L58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 t="shared" si="14"/>
        <v>0</v>
      </c>
      <c r="N59" s="391">
        <f t="shared" si="14"/>
        <v>0</v>
      </c>
      <c r="O59" s="391">
        <f>E59+I59+L59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 t="shared" ref="M61:N63" si="15">C61+G61+K61</f>
        <v>0</v>
      </c>
      <c r="N61" s="391">
        <f t="shared" si="15"/>
        <v>0</v>
      </c>
      <c r="O61" s="391">
        <f>E61+I61+L61</f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16">G55+G57+G58+G61</f>
        <v>0</v>
      </c>
      <c r="H62" s="389">
        <f t="shared" si="16"/>
        <v>0</v>
      </c>
      <c r="I62" s="389">
        <f t="shared" si="16"/>
        <v>0</v>
      </c>
      <c r="J62" s="389">
        <f t="shared" si="16"/>
        <v>0</v>
      </c>
      <c r="K62" s="389">
        <f t="shared" si="16"/>
        <v>0</v>
      </c>
      <c r="L62" s="389">
        <f t="shared" si="16"/>
        <v>0</v>
      </c>
      <c r="M62" s="391">
        <f t="shared" si="15"/>
        <v>0</v>
      </c>
      <c r="N62" s="391">
        <f t="shared" si="15"/>
        <v>0</v>
      </c>
      <c r="O62" s="391">
        <f>E62+I62+L62</f>
        <v>0</v>
      </c>
    </row>
    <row r="63" spans="1:15" x14ac:dyDescent="0.25">
      <c r="A63" s="613" t="s">
        <v>20</v>
      </c>
      <c r="B63" s="614" t="s">
        <v>107</v>
      </c>
      <c r="C63" s="389">
        <f>C54+C62</f>
        <v>153945000</v>
      </c>
      <c r="D63" s="389">
        <f>D54+D62</f>
        <v>147658500</v>
      </c>
      <c r="E63" s="389">
        <f>E54+E62</f>
        <v>148422100</v>
      </c>
      <c r="F63" s="389"/>
      <c r="G63" s="389">
        <f t="shared" ref="G63:L63" si="17">G54+G62</f>
        <v>0</v>
      </c>
      <c r="H63" s="389">
        <f t="shared" si="17"/>
        <v>0</v>
      </c>
      <c r="I63" s="389">
        <f t="shared" si="17"/>
        <v>0</v>
      </c>
      <c r="J63" s="389">
        <f t="shared" si="17"/>
        <v>0</v>
      </c>
      <c r="K63" s="389">
        <f t="shared" si="17"/>
        <v>0</v>
      </c>
      <c r="L63" s="389">
        <f t="shared" si="17"/>
        <v>0</v>
      </c>
      <c r="M63" s="391">
        <f t="shared" si="15"/>
        <v>153945000</v>
      </c>
      <c r="N63" s="391">
        <f t="shared" si="15"/>
        <v>147658500</v>
      </c>
      <c r="O63" s="391">
        <f>E63+I63+L63</f>
        <v>148422100</v>
      </c>
    </row>
    <row r="64" spans="1:15" x14ac:dyDescent="0.25">
      <c r="A64" s="436"/>
      <c r="B64" s="436"/>
      <c r="C64" s="436">
        <f t="shared" ref="C64:O64" si="18">+C63-C34</f>
        <v>0</v>
      </c>
      <c r="D64" s="436">
        <f t="shared" si="18"/>
        <v>0</v>
      </c>
      <c r="E64" s="436">
        <f>+E63-E34</f>
        <v>0</v>
      </c>
      <c r="F64" s="436">
        <f t="shared" si="18"/>
        <v>0</v>
      </c>
      <c r="G64" s="436">
        <f t="shared" si="18"/>
        <v>0</v>
      </c>
      <c r="H64" s="436">
        <f t="shared" si="18"/>
        <v>0</v>
      </c>
      <c r="I64" s="436">
        <f t="shared" si="18"/>
        <v>0</v>
      </c>
      <c r="J64" s="436">
        <f t="shared" si="18"/>
        <v>0</v>
      </c>
      <c r="K64" s="436">
        <f t="shared" si="18"/>
        <v>0</v>
      </c>
      <c r="L64" s="436">
        <f t="shared" si="18"/>
        <v>0</v>
      </c>
      <c r="M64" s="436">
        <f t="shared" si="18"/>
        <v>0</v>
      </c>
      <c r="N64" s="436">
        <f t="shared" si="18"/>
        <v>0</v>
      </c>
      <c r="O64" s="436">
        <f t="shared" si="18"/>
        <v>0</v>
      </c>
    </row>
    <row r="65" spans="1:15" x14ac:dyDescent="0.25">
      <c r="A65" s="435"/>
      <c r="B65" s="440"/>
      <c r="C65" s="394"/>
      <c r="D65" s="394"/>
      <c r="E65" s="394">
        <f>+E63-E34</f>
        <v>0</v>
      </c>
      <c r="F65" s="394"/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3">
    <mergeCell ref="K36:M36"/>
    <mergeCell ref="A2:O2"/>
    <mergeCell ref="L1:O1"/>
  </mergeCells>
  <printOptions horizontalCentered="1"/>
  <pageMargins left="0.3" right="0.18" top="0.52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50.7109375" style="382" customWidth="1"/>
    <col min="3" max="3" width="10.5703125" style="382" customWidth="1"/>
    <col min="4" max="4" width="10.5703125" style="382" hidden="1" customWidth="1"/>
    <col min="5" max="5" width="10.5703125" style="382" customWidth="1"/>
    <col min="6" max="6" width="10.5703125" style="382" hidden="1" customWidth="1"/>
    <col min="7" max="7" width="10" style="382" customWidth="1"/>
    <col min="8" max="8" width="10" style="382" hidden="1" customWidth="1"/>
    <col min="9" max="9" width="10" style="382" customWidth="1"/>
    <col min="10" max="10" width="10" style="382" hidden="1" customWidth="1"/>
    <col min="11" max="11" width="8.85546875" style="382"/>
    <col min="12" max="12" width="9.140625" style="382" customWidth="1"/>
    <col min="13" max="13" width="10.28515625" style="382" customWidth="1"/>
    <col min="14" max="14" width="11.140625" style="382" hidden="1" customWidth="1"/>
    <col min="15" max="15" width="11.140625" style="382" customWidth="1"/>
  </cols>
  <sheetData>
    <row r="1" spans="1:15" ht="36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662</v>
      </c>
      <c r="M1" s="1086"/>
      <c r="N1" s="1086"/>
      <c r="O1" s="1086"/>
    </row>
    <row r="2" spans="1:15" ht="36" customHeight="1" x14ac:dyDescent="0.25">
      <c r="A2" s="1103" t="s">
        <v>663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L3" s="466"/>
      <c r="M3" s="946" t="s">
        <v>339</v>
      </c>
      <c r="N3" s="46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'7. Pitypang'!D5+'7. Pitypang'!H5+'7. Pitypang'!L5</f>
        <v>0</v>
      </c>
      <c r="O5" s="391">
        <f>'7. Pitypang'!E5+'7. Pitypang'!I5+'7. Pitypang'!L5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>
        <v>0</v>
      </c>
      <c r="E6" s="389">
        <v>0</v>
      </c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'7. Pitypang'!D6+'7. Pitypang'!H6+'7. Pitypang'!L6</f>
        <v>0</v>
      </c>
      <c r="O6" s="391">
        <f>'7. Pitypang'!E6+'7. Pitypang'!I6+'7. Pitypang'!L6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'7. Pitypang'!D11+'7. Pitypang'!H11+'7. Pitypang'!L11</f>
        <v>0</v>
      </c>
      <c r="O11" s="391">
        <f>'7. Pitypang'!E11+'7. Pitypang'!I11+'7. Pitypang'!L11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'7. Pitypang'!D12+'7. Pitypang'!H12+'7. Pitypang'!L12</f>
        <v>0</v>
      </c>
      <c r="O12" s="391">
        <f>'7. Pitypang'!E12+'7. Pitypang'!I12+'7. Pitypang'!L12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15367000</v>
      </c>
      <c r="D19" s="389">
        <f>+C19</f>
        <v>15367000</v>
      </c>
      <c r="E19" s="389">
        <f>+D19</f>
        <v>15367000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M24" si="0">C19+G19+K19</f>
        <v>15367000</v>
      </c>
      <c r="N19" s="391">
        <f>'7. Pitypang'!D19+'7. Pitypang'!H19+'7. Pitypang'!L19</f>
        <v>15367000</v>
      </c>
      <c r="O19" s="391">
        <f>'7. Pitypang'!E19+'7. Pitypang'!I19+'7. Pitypang'!L19</f>
        <v>15367000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>'7. Pitypang'!D20+'7. Pitypang'!H20+'7. Pitypang'!L20</f>
        <v>0</v>
      </c>
      <c r="O20" s="391">
        <f>'7. Pitypang'!E20+'7. Pitypang'!I20+'7. Pitypang'!L20</f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>'7. Pitypang'!D21+'7. Pitypang'!H21+'7. Pitypang'!L21</f>
        <v>0</v>
      </c>
      <c r="O21" s="391">
        <f>'7. Pitypang'!E21+'7. Pitypang'!I21+'7. Pitypang'!L21</f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/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>'7. Pitypang'!D22+'7. Pitypang'!H22+'7. Pitypang'!L22</f>
        <v>0</v>
      </c>
      <c r="O22" s="391">
        <f>'7. Pitypang'!E22+'7. Pitypang'!I22+'7. Pitypang'!L22</f>
        <v>0</v>
      </c>
    </row>
    <row r="23" spans="1:15" x14ac:dyDescent="0.25">
      <c r="A23" s="396" t="s">
        <v>19</v>
      </c>
      <c r="B23" s="351" t="s">
        <v>80</v>
      </c>
      <c r="C23" s="389">
        <f>C5+C6+C11+C12+C19+C20+C21+C22</f>
        <v>15367000</v>
      </c>
      <c r="D23" s="389">
        <f>D5+D6+D11+D12+D19+D20+D21+D22</f>
        <v>15367000</v>
      </c>
      <c r="E23" s="389">
        <f>E5+E6+E11+E12+E19+E20+E21+E22</f>
        <v>15367000</v>
      </c>
      <c r="F23" s="389"/>
      <c r="G23" s="389">
        <f t="shared" ref="G23:L23" si="1">G5+G6+G11+G12+G19+G20+G21+G22</f>
        <v>0</v>
      </c>
      <c r="H23" s="389">
        <f t="shared" si="1"/>
        <v>0</v>
      </c>
      <c r="I23" s="389">
        <f t="shared" si="1"/>
        <v>0</v>
      </c>
      <c r="J23" s="389">
        <f t="shared" si="1"/>
        <v>0</v>
      </c>
      <c r="K23" s="389">
        <f t="shared" si="1"/>
        <v>0</v>
      </c>
      <c r="L23" s="389">
        <f t="shared" si="1"/>
        <v>0</v>
      </c>
      <c r="M23" s="391">
        <f t="shared" si="0"/>
        <v>15367000</v>
      </c>
      <c r="N23" s="391">
        <f>'7. Pitypang'!D23+'7. Pitypang'!H23+'7. Pitypang'!L23</f>
        <v>15367000</v>
      </c>
      <c r="O23" s="391">
        <f>'7. Pitypang'!E23+'7. Pitypang'!I23+'7. Pitypang'!L23</f>
        <v>15367000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/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>'7. Pitypang'!D24+'7. Pitypang'!H24+'7. Pitypang'!L24</f>
        <v>0</v>
      </c>
      <c r="O24" s="391">
        <f>'7. Pitypang'!E24+'7. Pitypang'!I24+'7. Pitypang'!L24</f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/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>C26+G26+K26</f>
        <v>0</v>
      </c>
      <c r="N26" s="391">
        <f>'7. Pitypang'!D26+'7. Pitypang'!H26+'7. Pitypang'!L26</f>
        <v>0</v>
      </c>
      <c r="O26" s="391">
        <f>'7. Pitypang'!E26+'7. Pitypang'!I26+'7. Pitypang'!L26</f>
        <v>0</v>
      </c>
    </row>
    <row r="27" spans="1:15" x14ac:dyDescent="0.25">
      <c r="A27" s="387" t="s">
        <v>22</v>
      </c>
      <c r="B27" s="350" t="s">
        <v>152</v>
      </c>
      <c r="C27" s="389">
        <v>0</v>
      </c>
      <c r="D27" s="373">
        <v>0</v>
      </c>
      <c r="E27" s="373">
        <v>586607</v>
      </c>
      <c r="F27" s="373"/>
      <c r="G27" s="389">
        <v>0</v>
      </c>
      <c r="H27" s="389">
        <v>0</v>
      </c>
      <c r="I27" s="389">
        <v>0</v>
      </c>
      <c r="J27" s="389">
        <v>0</v>
      </c>
      <c r="K27" s="389">
        <v>0</v>
      </c>
      <c r="L27" s="389">
        <v>0</v>
      </c>
      <c r="M27" s="391">
        <f>C27+G27+K27</f>
        <v>0</v>
      </c>
      <c r="N27" s="391">
        <f>'7. Pitypang'!D27+'7. Pitypang'!H27+'7. Pitypang'!L27</f>
        <v>0</v>
      </c>
      <c r="O27" s="391">
        <f>'7. Pitypang'!E27+'7. Pitypang'!I27+'7. Pitypang'!L27</f>
        <v>586607</v>
      </c>
    </row>
    <row r="28" spans="1:15" x14ac:dyDescent="0.25">
      <c r="A28" s="395" t="s">
        <v>23</v>
      </c>
      <c r="B28" s="349" t="s">
        <v>83</v>
      </c>
      <c r="C28" s="389">
        <f>+C29</f>
        <v>279940000</v>
      </c>
      <c r="D28" s="389">
        <f>+D29</f>
        <v>269940000</v>
      </c>
      <c r="E28" s="389">
        <f>+D28</f>
        <v>269940000</v>
      </c>
      <c r="F28" s="389"/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>C28+G28+K28</f>
        <v>279940000</v>
      </c>
      <c r="N28" s="391">
        <f>'7. Pitypang'!D28+'7. Pitypang'!H28+'7. Pitypang'!L28</f>
        <v>269940000</v>
      </c>
      <c r="O28" s="391">
        <f>'7. Pitypang'!E28+'7. Pitypang'!I28+'7. Pitypang'!L28</f>
        <v>269940000</v>
      </c>
    </row>
    <row r="29" spans="1:15" x14ac:dyDescent="0.25">
      <c r="A29" s="395" t="s">
        <v>114</v>
      </c>
      <c r="B29" s="349" t="s">
        <v>84</v>
      </c>
      <c r="C29" s="389">
        <v>279940000</v>
      </c>
      <c r="D29" s="389">
        <f>+C29-10000000</f>
        <v>269940000</v>
      </c>
      <c r="E29" s="389">
        <f>+D29</f>
        <v>269940000</v>
      </c>
      <c r="F29" s="389"/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>C29+G29+K29</f>
        <v>279940000</v>
      </c>
      <c r="N29" s="391">
        <f>'7. Pitypang'!D29+'7. Pitypang'!H29+'7. Pitypang'!L29</f>
        <v>269940000</v>
      </c>
      <c r="O29" s="391">
        <f>'7. Pitypang'!E29+'7. Pitypang'!I29+'7. Pitypang'!L29</f>
        <v>269940000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/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>C31+G31+K31</f>
        <v>0</v>
      </c>
      <c r="N31" s="391">
        <f>'7. Pitypang'!D31+'7. Pitypang'!H31+'7. Pitypang'!L31</f>
        <v>0</v>
      </c>
      <c r="O31" s="391">
        <f>'7. Pitypang'!E31+'7. Pitypang'!I31+'7. Pitypang'!L31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/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>C32+G32+K32</f>
        <v>0</v>
      </c>
      <c r="N32" s="391">
        <f>'7. Pitypang'!D32+'7. Pitypang'!H32+'7. Pitypang'!L32</f>
        <v>0</v>
      </c>
      <c r="O32" s="391">
        <f>'7. Pitypang'!E32+'7. Pitypang'!I32+'7. Pitypang'!L32</f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279940000</v>
      </c>
      <c r="D33" s="389">
        <f>D24+D26+D27+D28+D31+D32</f>
        <v>269940000</v>
      </c>
      <c r="E33" s="389">
        <f>E24+E26+E27+E28+E31+E32</f>
        <v>270526607</v>
      </c>
      <c r="F33" s="389"/>
      <c r="G33" s="389">
        <f t="shared" ref="G33:L33" si="2">G24+G26+G27+G28+G31+G32</f>
        <v>0</v>
      </c>
      <c r="H33" s="389">
        <f t="shared" si="2"/>
        <v>0</v>
      </c>
      <c r="I33" s="389">
        <f t="shared" si="2"/>
        <v>0</v>
      </c>
      <c r="J33" s="389">
        <f t="shared" si="2"/>
        <v>0</v>
      </c>
      <c r="K33" s="389">
        <f t="shared" si="2"/>
        <v>0</v>
      </c>
      <c r="L33" s="389">
        <f t="shared" si="2"/>
        <v>0</v>
      </c>
      <c r="M33" s="391">
        <f>C33+G33+K33</f>
        <v>279940000</v>
      </c>
      <c r="N33" s="391">
        <f>'7. Pitypang'!D33+'7. Pitypang'!H33+'7. Pitypang'!L33</f>
        <v>269940000</v>
      </c>
      <c r="O33" s="391">
        <f>'7. Pitypang'!E33+'7. Pitypang'!I33+'7. Pitypang'!L33</f>
        <v>270526607</v>
      </c>
    </row>
    <row r="34" spans="1:15" x14ac:dyDescent="0.25">
      <c r="A34" s="613" t="s">
        <v>27</v>
      </c>
      <c r="B34" s="614" t="s">
        <v>88</v>
      </c>
      <c r="C34" s="389">
        <f>C23+C33</f>
        <v>295307000</v>
      </c>
      <c r="D34" s="389">
        <f>D23+D33</f>
        <v>285307000</v>
      </c>
      <c r="E34" s="389">
        <f>E23+E33</f>
        <v>285893607</v>
      </c>
      <c r="F34" s="389"/>
      <c r="G34" s="389">
        <f t="shared" ref="G34:L34" si="3">G23+G33</f>
        <v>0</v>
      </c>
      <c r="H34" s="389">
        <f t="shared" si="3"/>
        <v>0</v>
      </c>
      <c r="I34" s="389">
        <f t="shared" si="3"/>
        <v>0</v>
      </c>
      <c r="J34" s="389">
        <f t="shared" si="3"/>
        <v>0</v>
      </c>
      <c r="K34" s="389">
        <f t="shared" si="3"/>
        <v>0</v>
      </c>
      <c r="L34" s="389">
        <f t="shared" si="3"/>
        <v>0</v>
      </c>
      <c r="M34" s="391">
        <f>C34+G34+K34</f>
        <v>295307000</v>
      </c>
      <c r="N34" s="402">
        <f>'7. Pitypang'!D34+'7. Pitypang'!H34+'7. Pitypang'!L34</f>
        <v>285307000</v>
      </c>
      <c r="O34" s="402">
        <f>'7. Pitypang'!E34+'7. Pitypang'!I34+'7. Pitypang'!L34</f>
        <v>285893607</v>
      </c>
    </row>
    <row r="35" spans="1:15" x14ac:dyDescent="0.25">
      <c r="A35" s="403"/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418" t="s">
        <v>5</v>
      </c>
      <c r="C36" s="416"/>
      <c r="D36" s="416"/>
      <c r="E36" s="416"/>
      <c r="F36" s="416"/>
      <c r="G36" s="416"/>
      <c r="H36" s="416"/>
      <c r="I36" s="416"/>
      <c r="J36" s="416"/>
      <c r="L36" s="947"/>
      <c r="M36" s="796" t="s">
        <v>339</v>
      </c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92">
        <f>C39+C40+C41+C42+C43+C48</f>
        <v>294672000</v>
      </c>
      <c r="D38" s="392">
        <f>D39+D40+D41+D42+D43+D48</f>
        <v>284672000</v>
      </c>
      <c r="E38" s="392">
        <f>E39+E40+E41+E42+E43+E48</f>
        <v>284672000</v>
      </c>
      <c r="F38" s="392"/>
      <c r="G38" s="392">
        <f t="shared" ref="G38:L38" si="4">G39+G40+G41+G42+G43+G48</f>
        <v>0</v>
      </c>
      <c r="H38" s="392">
        <f t="shared" si="4"/>
        <v>0</v>
      </c>
      <c r="I38" s="392">
        <f t="shared" si="4"/>
        <v>0</v>
      </c>
      <c r="J38" s="392">
        <f t="shared" si="4"/>
        <v>0</v>
      </c>
      <c r="K38" s="392">
        <f t="shared" si="4"/>
        <v>0</v>
      </c>
      <c r="L38" s="392">
        <f t="shared" si="4"/>
        <v>0</v>
      </c>
      <c r="M38" s="391">
        <f t="shared" ref="M38:M43" si="5">C38+G38+K38</f>
        <v>294672000</v>
      </c>
      <c r="N38" s="391">
        <f>'7. Pitypang'!D38+'7. Pitypang'!H38+'7. Pitypang'!L38</f>
        <v>284672000</v>
      </c>
      <c r="O38" s="391">
        <f>'7. Pitypang'!E38+'7. Pitypang'!I38+'7. Pitypang'!L38</f>
        <v>284672000</v>
      </c>
    </row>
    <row r="39" spans="1:15" x14ac:dyDescent="0.25">
      <c r="A39" s="425" t="s">
        <v>53</v>
      </c>
      <c r="B39" s="349" t="s">
        <v>6</v>
      </c>
      <c r="C39" s="389">
        <v>179285000</v>
      </c>
      <c r="D39" s="389">
        <f>+C39</f>
        <v>179285000</v>
      </c>
      <c r="E39" s="389">
        <f>+D39</f>
        <v>179285000</v>
      </c>
      <c r="F39" s="389"/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5"/>
        <v>179285000</v>
      </c>
      <c r="N39" s="391">
        <f>'7. Pitypang'!D39+'7. Pitypang'!H39+'7. Pitypang'!L39</f>
        <v>179285000</v>
      </c>
      <c r="O39" s="391">
        <f>'7. Pitypang'!E39+'7. Pitypang'!I39+'7. Pitypang'!L39</f>
        <v>179285000</v>
      </c>
    </row>
    <row r="40" spans="1:15" x14ac:dyDescent="0.25">
      <c r="A40" s="425" t="s">
        <v>54</v>
      </c>
      <c r="B40" s="349" t="s">
        <v>94</v>
      </c>
      <c r="C40" s="389">
        <v>29952000</v>
      </c>
      <c r="D40" s="389">
        <f>+C40</f>
        <v>29952000</v>
      </c>
      <c r="E40" s="389">
        <f>+D40</f>
        <v>29952000</v>
      </c>
      <c r="F40" s="389"/>
      <c r="G40" s="389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  <c r="M40" s="391">
        <f t="shared" si="5"/>
        <v>29952000</v>
      </c>
      <c r="N40" s="391">
        <f>'7. Pitypang'!D40+'7. Pitypang'!H40+'7. Pitypang'!L40</f>
        <v>29952000</v>
      </c>
      <c r="O40" s="391">
        <f>'7. Pitypang'!E40+'7. Pitypang'!I40+'7. Pitypang'!L40</f>
        <v>29952000</v>
      </c>
    </row>
    <row r="41" spans="1:15" x14ac:dyDescent="0.25">
      <c r="A41" s="425" t="s">
        <v>55</v>
      </c>
      <c r="B41" s="349" t="s">
        <v>95</v>
      </c>
      <c r="C41" s="389">
        <v>85435000</v>
      </c>
      <c r="D41" s="389">
        <f>+C41-10000000</f>
        <v>75435000</v>
      </c>
      <c r="E41" s="389">
        <f>+D41</f>
        <v>75435000</v>
      </c>
      <c r="F41" s="389"/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5"/>
        <v>85435000</v>
      </c>
      <c r="N41" s="391">
        <f>'7. Pitypang'!D41+'7. Pitypang'!H41+'7. Pitypang'!L41</f>
        <v>75435000</v>
      </c>
      <c r="O41" s="391">
        <f>'7. Pitypang'!E41+'7. Pitypang'!I41+'7. Pitypang'!L41</f>
        <v>75435000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389"/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5"/>
        <v>0</v>
      </c>
      <c r="N42" s="391">
        <f>'7. Pitypang'!D42+'7. Pitypang'!H42+'7. Pitypang'!L42</f>
        <v>0</v>
      </c>
      <c r="O42" s="391">
        <f>'7. Pitypang'!E42+'7. Pitypang'!I42+'7. Pitypang'!L42</f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89">
        <v>0</v>
      </c>
      <c r="E43" s="389">
        <v>0</v>
      </c>
      <c r="F43" s="373"/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5"/>
        <v>0</v>
      </c>
      <c r="N43" s="391">
        <f>'7. Pitypang'!D43+'7. Pitypang'!H43+'7. Pitypang'!L43</f>
        <v>0</v>
      </c>
      <c r="O43" s="391">
        <f>'7. Pitypang'!E43+'7. Pitypang'!I43+'7. Pitypang'!L43</f>
        <v>0</v>
      </c>
    </row>
    <row r="44" spans="1:15" x14ac:dyDescent="0.25">
      <c r="A44" s="430" t="s">
        <v>91</v>
      </c>
      <c r="B44" s="349" t="s">
        <v>330</v>
      </c>
      <c r="C44" s="389"/>
      <c r="D44" s="373"/>
      <c r="E44" s="373"/>
      <c r="F44" s="373"/>
      <c r="G44" s="389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73"/>
      <c r="E45" s="373"/>
      <c r="F45" s="373"/>
      <c r="G45" s="389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432" t="s">
        <v>98</v>
      </c>
      <c r="C46" s="389"/>
      <c r="D46" s="373"/>
      <c r="E46" s="373"/>
      <c r="F46" s="373"/>
      <c r="G46" s="389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432" t="s">
        <v>99</v>
      </c>
      <c r="C47" s="389"/>
      <c r="D47" s="373"/>
      <c r="E47" s="373"/>
      <c r="F47" s="373"/>
      <c r="G47" s="389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/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'7. Pitypang'!D48+'7. Pitypang'!H48+'7. Pitypang'!L48</f>
        <v>0</v>
      </c>
      <c r="O48" s="391">
        <f>'7. Pitypang'!E48+'7. Pitypang'!I48+'7. Pitypang'!L48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391"/>
      <c r="O49" s="391"/>
    </row>
    <row r="50" spans="1:15" x14ac:dyDescent="0.25">
      <c r="A50" s="431" t="s">
        <v>12</v>
      </c>
      <c r="B50" s="350" t="s">
        <v>100</v>
      </c>
      <c r="C50" s="389">
        <f>C51+C52+C53</f>
        <v>635000</v>
      </c>
      <c r="D50" s="389">
        <f>D51+D52+D53</f>
        <v>635000</v>
      </c>
      <c r="E50" s="389">
        <f>E51+E52+E53</f>
        <v>1221607</v>
      </c>
      <c r="F50" s="389"/>
      <c r="G50" s="389">
        <f t="shared" ref="G50:L50" si="6">G51+G52+G53</f>
        <v>0</v>
      </c>
      <c r="H50" s="389">
        <f t="shared" si="6"/>
        <v>0</v>
      </c>
      <c r="I50" s="389">
        <f t="shared" si="6"/>
        <v>0</v>
      </c>
      <c r="J50" s="389">
        <f t="shared" si="6"/>
        <v>0</v>
      </c>
      <c r="K50" s="389">
        <f t="shared" si="6"/>
        <v>0</v>
      </c>
      <c r="L50" s="389">
        <f t="shared" si="6"/>
        <v>0</v>
      </c>
      <c r="M50" s="391">
        <f t="shared" ref="M50:M55" si="7">C50+G50+K50</f>
        <v>635000</v>
      </c>
      <c r="N50" s="391">
        <f>'7. Pitypang'!D50+'7. Pitypang'!H50+'7. Pitypang'!L50</f>
        <v>635000</v>
      </c>
      <c r="O50" s="391">
        <f>'7. Pitypang'!E50+'7. Pitypang'!I50+'7. Pitypang'!L50</f>
        <v>1221607</v>
      </c>
    </row>
    <row r="51" spans="1:15" x14ac:dyDescent="0.25">
      <c r="A51" s="430" t="s">
        <v>49</v>
      </c>
      <c r="B51" s="349" t="s">
        <v>9</v>
      </c>
      <c r="C51" s="389">
        <v>635000</v>
      </c>
      <c r="D51" s="389">
        <f>+C51</f>
        <v>635000</v>
      </c>
      <c r="E51" s="389">
        <f>+D51+586607</f>
        <v>1221607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7"/>
        <v>635000</v>
      </c>
      <c r="N51" s="391">
        <f>'7. Pitypang'!D51+'7. Pitypang'!H51+'7. Pitypang'!L51</f>
        <v>635000</v>
      </c>
      <c r="O51" s="391">
        <f>'7. Pitypang'!E51+'7. Pitypang'!I51+'7. Pitypang'!L51</f>
        <v>1221607</v>
      </c>
    </row>
    <row r="52" spans="1:15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v>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7"/>
        <v>0</v>
      </c>
      <c r="N52" s="391">
        <f>'7. Pitypang'!D52+'7. Pitypang'!H52+'7. Pitypang'!L52</f>
        <v>0</v>
      </c>
      <c r="O52" s="391">
        <f>'7. Pitypang'!E52+'7. Pitypang'!I52+'7. Pitypang'!L52</f>
        <v>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7"/>
        <v>0</v>
      </c>
      <c r="N53" s="391">
        <f>'7. Pitypang'!D53+'7. Pitypang'!H53+'7. Pitypang'!L53</f>
        <v>0</v>
      </c>
      <c r="O53" s="391">
        <f>'7. Pitypang'!E53+'7. Pitypang'!I53+'7. Pitypang'!L53</f>
        <v>0</v>
      </c>
    </row>
    <row r="54" spans="1:15" x14ac:dyDescent="0.25">
      <c r="A54" s="433" t="s">
        <v>13</v>
      </c>
      <c r="B54" s="351" t="s">
        <v>102</v>
      </c>
      <c r="C54" s="389">
        <f>C38+C50</f>
        <v>295307000</v>
      </c>
      <c r="D54" s="389">
        <f>D38+D50</f>
        <v>285307000</v>
      </c>
      <c r="E54" s="389">
        <f>E38+E50</f>
        <v>285893607</v>
      </c>
      <c r="F54" s="389"/>
      <c r="G54" s="389">
        <f t="shared" ref="G54:L54" si="8">G38+G50</f>
        <v>0</v>
      </c>
      <c r="H54" s="389">
        <f t="shared" si="8"/>
        <v>0</v>
      </c>
      <c r="I54" s="389">
        <f t="shared" si="8"/>
        <v>0</v>
      </c>
      <c r="J54" s="389">
        <f t="shared" si="8"/>
        <v>0</v>
      </c>
      <c r="K54" s="389">
        <f t="shared" si="8"/>
        <v>0</v>
      </c>
      <c r="L54" s="389">
        <f t="shared" si="8"/>
        <v>0</v>
      </c>
      <c r="M54" s="391">
        <f t="shared" si="7"/>
        <v>295307000</v>
      </c>
      <c r="N54" s="391">
        <f>'7. Pitypang'!D54+'7. Pitypang'!H54+'7. Pitypang'!L54</f>
        <v>285307000</v>
      </c>
      <c r="O54" s="391">
        <f>'7. Pitypang'!E54+'7. Pitypang'!I54+'7. Pitypang'!L54</f>
        <v>285893607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7"/>
        <v>0</v>
      </c>
      <c r="N55" s="391">
        <f>'7. Pitypang'!D55+'7. Pitypang'!H55+'7. Pitypang'!L55</f>
        <v>0</v>
      </c>
      <c r="O55" s="391">
        <f>'7. Pitypang'!E55+'7. Pitypang'!I55+'7. Pitypang'!L55</f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>C57+G57+K57</f>
        <v>0</v>
      </c>
      <c r="N57" s="391">
        <f>'7. Pitypang'!D57+'7. Pitypang'!H57+'7. Pitypang'!L57</f>
        <v>0</v>
      </c>
      <c r="O57" s="391">
        <f>'7. Pitypang'!E57+'7. Pitypang'!I57+'7. Pitypang'!L57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>C58+G58+K58</f>
        <v>0</v>
      </c>
      <c r="N58" s="391">
        <f>'7. Pitypang'!D58+'7. Pitypang'!H58+'7. Pitypang'!L58</f>
        <v>0</v>
      </c>
      <c r="O58" s="391">
        <f>'7. Pitypang'!E58+'7. Pitypang'!I58+'7. Pitypang'!L58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>C59+G59+K59</f>
        <v>0</v>
      </c>
      <c r="N59" s="391">
        <f>'7. Pitypang'!D59+'7. Pitypang'!H59+'7. Pitypang'!L59</f>
        <v>0</v>
      </c>
      <c r="O59" s="391">
        <f>'7. Pitypang'!E59+'7. Pitypang'!I59+'7. Pitypang'!L59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>C61+G61+K61</f>
        <v>0</v>
      </c>
      <c r="N61" s="391">
        <f>'7. Pitypang'!D61+'7. Pitypang'!H61+'7. Pitypang'!L61</f>
        <v>0</v>
      </c>
      <c r="O61" s="391">
        <f>'7. Pitypang'!E61+'7. Pitypang'!I61+'7. Pitypang'!L61</f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9">G55+G57+G58+G61</f>
        <v>0</v>
      </c>
      <c r="H62" s="389">
        <f t="shared" si="9"/>
        <v>0</v>
      </c>
      <c r="I62" s="389">
        <f t="shared" si="9"/>
        <v>0</v>
      </c>
      <c r="J62" s="389">
        <f t="shared" si="9"/>
        <v>0</v>
      </c>
      <c r="K62" s="389">
        <f t="shared" si="9"/>
        <v>0</v>
      </c>
      <c r="L62" s="389">
        <f t="shared" si="9"/>
        <v>0</v>
      </c>
      <c r="M62" s="391">
        <f>C62+G62+K62</f>
        <v>0</v>
      </c>
      <c r="N62" s="391">
        <f>'7. Pitypang'!D62+'7. Pitypang'!H62+'7. Pitypang'!L62</f>
        <v>0</v>
      </c>
      <c r="O62" s="391">
        <f>'7. Pitypang'!E62+'7. Pitypang'!I62+'7. Pitypang'!L62</f>
        <v>0</v>
      </c>
    </row>
    <row r="63" spans="1:15" x14ac:dyDescent="0.25">
      <c r="A63" s="613" t="s">
        <v>20</v>
      </c>
      <c r="B63" s="614" t="s">
        <v>107</v>
      </c>
      <c r="C63" s="389">
        <f>C54+C62</f>
        <v>295307000</v>
      </c>
      <c r="D63" s="389">
        <f>D54+D62</f>
        <v>285307000</v>
      </c>
      <c r="E63" s="389">
        <f>E54+E62</f>
        <v>285893607</v>
      </c>
      <c r="F63" s="389"/>
      <c r="G63" s="389">
        <f t="shared" ref="G63:L63" si="10">G54+G62</f>
        <v>0</v>
      </c>
      <c r="H63" s="389">
        <f t="shared" si="10"/>
        <v>0</v>
      </c>
      <c r="I63" s="389">
        <f t="shared" si="10"/>
        <v>0</v>
      </c>
      <c r="J63" s="389">
        <f t="shared" si="10"/>
        <v>0</v>
      </c>
      <c r="K63" s="389">
        <f t="shared" si="10"/>
        <v>0</v>
      </c>
      <c r="L63" s="389">
        <f t="shared" si="10"/>
        <v>0</v>
      </c>
      <c r="M63" s="391">
        <f>C63+G63+K63</f>
        <v>295307000</v>
      </c>
      <c r="N63" s="391">
        <f>'7. Pitypang'!D63+'7. Pitypang'!H63+'7. Pitypang'!L63</f>
        <v>285307000</v>
      </c>
      <c r="O63" s="391">
        <f>'7. Pitypang'!E63+'7. Pitypang'!I63+'7. Pitypang'!L63</f>
        <v>285893607</v>
      </c>
    </row>
    <row r="64" spans="1:15" x14ac:dyDescent="0.25">
      <c r="A64" s="436"/>
      <c r="B64" s="436"/>
      <c r="C64" s="436">
        <f t="shared" ref="C64:N64" si="11">+C63-C34</f>
        <v>0</v>
      </c>
      <c r="D64" s="436">
        <f t="shared" si="11"/>
        <v>0</v>
      </c>
      <c r="E64" s="436">
        <f t="shared" si="11"/>
        <v>0</v>
      </c>
      <c r="F64" s="436">
        <f t="shared" si="11"/>
        <v>0</v>
      </c>
      <c r="G64" s="436">
        <f t="shared" si="11"/>
        <v>0</v>
      </c>
      <c r="H64" s="436">
        <f t="shared" si="11"/>
        <v>0</v>
      </c>
      <c r="I64" s="436">
        <f t="shared" si="11"/>
        <v>0</v>
      </c>
      <c r="J64" s="436">
        <f t="shared" si="11"/>
        <v>0</v>
      </c>
      <c r="K64" s="436">
        <f t="shared" si="11"/>
        <v>0</v>
      </c>
      <c r="L64" s="436">
        <f t="shared" si="11"/>
        <v>0</v>
      </c>
      <c r="M64" s="436">
        <f t="shared" si="11"/>
        <v>0</v>
      </c>
      <c r="N64" s="436">
        <f t="shared" si="11"/>
        <v>0</v>
      </c>
      <c r="O64" s="436">
        <f>+O63-O34</f>
        <v>0</v>
      </c>
    </row>
    <row r="65" spans="1:15" x14ac:dyDescent="0.25">
      <c r="A65" s="435"/>
      <c r="B65" s="440"/>
      <c r="C65" s="394"/>
      <c r="D65" s="394"/>
      <c r="E65" s="394">
        <f>+E63-E34</f>
        <v>0</v>
      </c>
      <c r="F65" s="394"/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2">
    <mergeCell ref="A2:O2"/>
    <mergeCell ref="L1:O1"/>
  </mergeCells>
  <printOptions horizontalCentered="1"/>
  <pageMargins left="0.51181102362204722" right="0.39370078740157483" top="0.44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49.42578125" style="382" customWidth="1"/>
    <col min="3" max="3" width="10.5703125" style="382" customWidth="1"/>
    <col min="4" max="4" width="10.5703125" style="382" hidden="1" customWidth="1"/>
    <col min="5" max="5" width="10.5703125" style="382" customWidth="1"/>
    <col min="6" max="6" width="10.5703125" style="382" hidden="1" customWidth="1"/>
    <col min="7" max="7" width="10" style="382" customWidth="1"/>
    <col min="8" max="8" width="10" style="382" hidden="1" customWidth="1"/>
    <col min="9" max="9" width="10" style="382" customWidth="1"/>
    <col min="10" max="10" width="10" style="382" hidden="1" customWidth="1"/>
    <col min="11" max="11" width="8.85546875" style="382"/>
    <col min="12" max="12" width="9.140625" style="382" customWidth="1"/>
    <col min="13" max="13" width="10.28515625" style="382" customWidth="1"/>
    <col min="14" max="14" width="10.28515625" style="382" hidden="1" customWidth="1"/>
    <col min="15" max="15" width="10.28515625" style="382" customWidth="1"/>
  </cols>
  <sheetData>
    <row r="1" spans="1:15" ht="38.25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665</v>
      </c>
      <c r="M1" s="1086"/>
      <c r="N1" s="1086"/>
      <c r="O1" s="1086"/>
    </row>
    <row r="2" spans="1:15" ht="35.25" customHeight="1" x14ac:dyDescent="0.25">
      <c r="A2" s="1103" t="s">
        <v>664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L3" s="466"/>
      <c r="M3" s="466" t="s">
        <v>339</v>
      </c>
      <c r="N3" s="46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89">
        <v>0</v>
      </c>
      <c r="L5" s="389">
        <v>0</v>
      </c>
      <c r="M5" s="391">
        <f>C5+G5+K5</f>
        <v>0</v>
      </c>
      <c r="N5" s="391">
        <f>D5+H5+L5</f>
        <v>0</v>
      </c>
      <c r="O5" s="391">
        <f>E5+I5+L5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>
        <v>0</v>
      </c>
      <c r="E6" s="389">
        <v>0</v>
      </c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D6+H6+L6</f>
        <v>0</v>
      </c>
      <c r="O6" s="391">
        <f>E6+I6+L6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D11+H11+L11</f>
        <v>0</v>
      </c>
      <c r="O11" s="391">
        <f>E11+I11+L11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D12+H12+L12</f>
        <v>0</v>
      </c>
      <c r="O12" s="391">
        <f>E12+I12+L12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5424000</v>
      </c>
      <c r="D19" s="389">
        <f>+C19</f>
        <v>5424000</v>
      </c>
      <c r="E19" s="389">
        <f>+D19</f>
        <v>5424000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N24" si="0">C19+G19+K19</f>
        <v>5424000</v>
      </c>
      <c r="N19" s="391">
        <f t="shared" si="0"/>
        <v>5424000</v>
      </c>
      <c r="O19" s="391">
        <f t="shared" ref="O19:O24" si="1">E19+I19+L19</f>
        <v>5424000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 t="shared" si="0"/>
        <v>0</v>
      </c>
      <c r="O20" s="391">
        <f t="shared" si="1"/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 t="shared" si="0"/>
        <v>0</v>
      </c>
      <c r="O21" s="391">
        <f t="shared" si="1"/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/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 t="shared" si="0"/>
        <v>0</v>
      </c>
      <c r="O22" s="391">
        <f t="shared" si="1"/>
        <v>0</v>
      </c>
    </row>
    <row r="23" spans="1:15" x14ac:dyDescent="0.25">
      <c r="A23" s="396" t="s">
        <v>19</v>
      </c>
      <c r="B23" s="351" t="s">
        <v>80</v>
      </c>
      <c r="C23" s="389">
        <f>SUM(C5:C22)</f>
        <v>5424000</v>
      </c>
      <c r="D23" s="389">
        <f>SUM(D5:D22)</f>
        <v>5424000</v>
      </c>
      <c r="E23" s="389">
        <f>SUM(E5:E22)</f>
        <v>5424000</v>
      </c>
      <c r="F23" s="389"/>
      <c r="G23" s="389">
        <f t="shared" ref="G23:L23" si="2">G5+G6+G11+G12+G19+G20+G21+G22</f>
        <v>0</v>
      </c>
      <c r="H23" s="389">
        <f t="shared" si="2"/>
        <v>0</v>
      </c>
      <c r="I23" s="389">
        <f t="shared" si="2"/>
        <v>0</v>
      </c>
      <c r="J23" s="389">
        <f t="shared" si="2"/>
        <v>0</v>
      </c>
      <c r="K23" s="389">
        <f t="shared" si="2"/>
        <v>0</v>
      </c>
      <c r="L23" s="389">
        <f t="shared" si="2"/>
        <v>0</v>
      </c>
      <c r="M23" s="391">
        <f t="shared" si="0"/>
        <v>5424000</v>
      </c>
      <c r="N23" s="391">
        <f t="shared" si="0"/>
        <v>5424000</v>
      </c>
      <c r="O23" s="391">
        <f t="shared" si="1"/>
        <v>5424000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/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 t="shared" si="0"/>
        <v>0</v>
      </c>
      <c r="O24" s="391">
        <f t="shared" si="1"/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/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 t="shared" ref="M26:N29" si="3">C26+G26+K26</f>
        <v>0</v>
      </c>
      <c r="N26" s="391">
        <f t="shared" si="3"/>
        <v>0</v>
      </c>
      <c r="O26" s="391">
        <f>E26+I26+L26</f>
        <v>0</v>
      </c>
    </row>
    <row r="27" spans="1:15" x14ac:dyDescent="0.25">
      <c r="A27" s="387" t="s">
        <v>22</v>
      </c>
      <c r="B27" s="350" t="s">
        <v>152</v>
      </c>
      <c r="C27" s="389">
        <v>0</v>
      </c>
      <c r="D27" s="372">
        <v>0</v>
      </c>
      <c r="E27" s="372">
        <v>492578</v>
      </c>
      <c r="F27" s="372"/>
      <c r="G27" s="389">
        <v>0</v>
      </c>
      <c r="H27" s="389">
        <v>0</v>
      </c>
      <c r="I27" s="389">
        <v>0</v>
      </c>
      <c r="J27" s="389">
        <v>0</v>
      </c>
      <c r="K27" s="389">
        <v>0</v>
      </c>
      <c r="L27" s="389">
        <v>0</v>
      </c>
      <c r="M27" s="391">
        <f t="shared" si="3"/>
        <v>0</v>
      </c>
      <c r="N27" s="391">
        <f t="shared" si="3"/>
        <v>0</v>
      </c>
      <c r="O27" s="391">
        <f>E27+I27+L27</f>
        <v>492578</v>
      </c>
    </row>
    <row r="28" spans="1:15" x14ac:dyDescent="0.25">
      <c r="A28" s="395" t="s">
        <v>23</v>
      </c>
      <c r="B28" s="349" t="s">
        <v>83</v>
      </c>
      <c r="C28" s="389">
        <f>+C29</f>
        <v>182367000</v>
      </c>
      <c r="D28" s="389">
        <f>+D29</f>
        <v>182367000</v>
      </c>
      <c r="E28" s="389">
        <f>+D28</f>
        <v>182367000</v>
      </c>
      <c r="F28" s="389"/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 t="shared" si="3"/>
        <v>182367000</v>
      </c>
      <c r="N28" s="391">
        <f t="shared" si="3"/>
        <v>182367000</v>
      </c>
      <c r="O28" s="391">
        <f>E28+I28+L28</f>
        <v>182367000</v>
      </c>
    </row>
    <row r="29" spans="1:15" x14ac:dyDescent="0.25">
      <c r="A29" s="395" t="s">
        <v>114</v>
      </c>
      <c r="B29" s="349" t="s">
        <v>84</v>
      </c>
      <c r="C29" s="389">
        <v>182367000</v>
      </c>
      <c r="D29" s="389">
        <f>+C29</f>
        <v>182367000</v>
      </c>
      <c r="E29" s="389">
        <f>+D29</f>
        <v>182367000</v>
      </c>
      <c r="F29" s="389"/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 t="shared" si="3"/>
        <v>182367000</v>
      </c>
      <c r="N29" s="391">
        <f t="shared" si="3"/>
        <v>182367000</v>
      </c>
      <c r="O29" s="391">
        <f>E29+I29+L29</f>
        <v>182367000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/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 t="shared" ref="M31:N34" si="4">C31+G31+K31</f>
        <v>0</v>
      </c>
      <c r="N31" s="391">
        <f t="shared" si="4"/>
        <v>0</v>
      </c>
      <c r="O31" s="391">
        <f>E31+I31+L31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/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 t="shared" si="4"/>
        <v>0</v>
      </c>
      <c r="N32" s="391">
        <f t="shared" si="4"/>
        <v>0</v>
      </c>
      <c r="O32" s="391">
        <f>E32+I32+L32</f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182367000</v>
      </c>
      <c r="D33" s="389">
        <f>D24+D26+D27+D28+D31+D32</f>
        <v>182367000</v>
      </c>
      <c r="E33" s="389">
        <f>E24+E26+E27+E28+E31+E32</f>
        <v>182859578</v>
      </c>
      <c r="F33" s="389"/>
      <c r="G33" s="389">
        <f t="shared" ref="G33:L33" si="5">G24+G26+G27+G28+G31+G32</f>
        <v>0</v>
      </c>
      <c r="H33" s="389">
        <f t="shared" si="5"/>
        <v>0</v>
      </c>
      <c r="I33" s="389">
        <f t="shared" si="5"/>
        <v>0</v>
      </c>
      <c r="J33" s="389">
        <f t="shared" si="5"/>
        <v>0</v>
      </c>
      <c r="K33" s="389">
        <f t="shared" si="5"/>
        <v>0</v>
      </c>
      <c r="L33" s="389">
        <f t="shared" si="5"/>
        <v>0</v>
      </c>
      <c r="M33" s="391">
        <f t="shared" si="4"/>
        <v>182367000</v>
      </c>
      <c r="N33" s="391">
        <f t="shared" si="4"/>
        <v>182367000</v>
      </c>
      <c r="O33" s="391">
        <f>E33+I33+L33</f>
        <v>182859578</v>
      </c>
    </row>
    <row r="34" spans="1:15" ht="21" x14ac:dyDescent="0.25">
      <c r="A34" s="613" t="s">
        <v>27</v>
      </c>
      <c r="B34" s="614" t="s">
        <v>88</v>
      </c>
      <c r="C34" s="389">
        <f>C23+C33</f>
        <v>187791000</v>
      </c>
      <c r="D34" s="389">
        <f>D23+D33</f>
        <v>187791000</v>
      </c>
      <c r="E34" s="389">
        <f>E23+E33</f>
        <v>188283578</v>
      </c>
      <c r="F34" s="389"/>
      <c r="G34" s="389">
        <f t="shared" ref="G34:L34" si="6">G23+G33</f>
        <v>0</v>
      </c>
      <c r="H34" s="389">
        <f t="shared" si="6"/>
        <v>0</v>
      </c>
      <c r="I34" s="389">
        <f t="shared" si="6"/>
        <v>0</v>
      </c>
      <c r="J34" s="389">
        <f t="shared" si="6"/>
        <v>0</v>
      </c>
      <c r="K34" s="389">
        <f t="shared" si="6"/>
        <v>0</v>
      </c>
      <c r="L34" s="389">
        <f t="shared" si="6"/>
        <v>0</v>
      </c>
      <c r="M34" s="391">
        <f t="shared" si="4"/>
        <v>187791000</v>
      </c>
      <c r="N34" s="402">
        <f t="shared" si="4"/>
        <v>187791000</v>
      </c>
      <c r="O34" s="402">
        <f>E34+I34+L34</f>
        <v>188283578</v>
      </c>
    </row>
    <row r="35" spans="1:15" x14ac:dyDescent="0.25">
      <c r="A35" s="403"/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418" t="s">
        <v>5</v>
      </c>
      <c r="C36" s="416"/>
      <c r="D36" s="416"/>
      <c r="E36" s="416"/>
      <c r="F36" s="416"/>
      <c r="G36" s="416"/>
      <c r="H36" s="416"/>
      <c r="I36" s="416"/>
      <c r="J36" s="416"/>
      <c r="K36" s="1101" t="s">
        <v>339</v>
      </c>
      <c r="L36" s="1101"/>
      <c r="M36" s="1102"/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s="105" customFormat="1" x14ac:dyDescent="0.25">
      <c r="A38" s="421" t="s">
        <v>11</v>
      </c>
      <c r="B38" s="350" t="s">
        <v>90</v>
      </c>
      <c r="C38" s="423">
        <f>C39+C40+C41+C42+C43+C48</f>
        <v>187156000</v>
      </c>
      <c r="D38" s="423">
        <f t="shared" ref="D38:E38" si="7">D39+D40+D41+D42+D43+D48</f>
        <v>187156000</v>
      </c>
      <c r="E38" s="423">
        <f t="shared" si="7"/>
        <v>187648578</v>
      </c>
      <c r="F38" s="423"/>
      <c r="G38" s="423">
        <f t="shared" ref="G38:L38" si="8">G39+G40+G41+G42+G43+G48</f>
        <v>0</v>
      </c>
      <c r="H38" s="423">
        <f t="shared" si="8"/>
        <v>0</v>
      </c>
      <c r="I38" s="423">
        <f t="shared" si="8"/>
        <v>0</v>
      </c>
      <c r="J38" s="423">
        <f t="shared" si="8"/>
        <v>0</v>
      </c>
      <c r="K38" s="423">
        <f t="shared" si="8"/>
        <v>0</v>
      </c>
      <c r="L38" s="423">
        <f t="shared" si="8"/>
        <v>0</v>
      </c>
      <c r="M38" s="391">
        <f t="shared" ref="M38:N43" si="9">C38+G38+K38</f>
        <v>187156000</v>
      </c>
      <c r="N38" s="391">
        <f t="shared" si="9"/>
        <v>187156000</v>
      </c>
      <c r="O38" s="391">
        <f t="shared" ref="O38:O43" si="10">E38+I38+L38</f>
        <v>187648578</v>
      </c>
    </row>
    <row r="39" spans="1:15" x14ac:dyDescent="0.25">
      <c r="A39" s="425" t="s">
        <v>53</v>
      </c>
      <c r="B39" s="349" t="s">
        <v>6</v>
      </c>
      <c r="C39" s="389">
        <v>123096000</v>
      </c>
      <c r="D39" s="389">
        <f>+C39</f>
        <v>123096000</v>
      </c>
      <c r="E39" s="389">
        <f>+D39</f>
        <v>123096000</v>
      </c>
      <c r="F39" s="389"/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9"/>
        <v>123096000</v>
      </c>
      <c r="N39" s="391">
        <f t="shared" si="9"/>
        <v>123096000</v>
      </c>
      <c r="O39" s="391">
        <f t="shared" si="10"/>
        <v>123096000</v>
      </c>
    </row>
    <row r="40" spans="1:15" x14ac:dyDescent="0.25">
      <c r="A40" s="425" t="s">
        <v>54</v>
      </c>
      <c r="B40" s="349" t="s">
        <v>94</v>
      </c>
      <c r="C40" s="389">
        <v>20044000</v>
      </c>
      <c r="D40" s="389">
        <f>+C40</f>
        <v>20044000</v>
      </c>
      <c r="E40" s="389">
        <f>+D40</f>
        <v>20044000</v>
      </c>
      <c r="F40" s="389"/>
      <c r="G40" s="389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  <c r="M40" s="391">
        <f t="shared" si="9"/>
        <v>20044000</v>
      </c>
      <c r="N40" s="391">
        <f t="shared" si="9"/>
        <v>20044000</v>
      </c>
      <c r="O40" s="391">
        <f t="shared" si="10"/>
        <v>20044000</v>
      </c>
    </row>
    <row r="41" spans="1:15" x14ac:dyDescent="0.25">
      <c r="A41" s="425" t="s">
        <v>55</v>
      </c>
      <c r="B41" s="349" t="s">
        <v>95</v>
      </c>
      <c r="C41" s="389">
        <v>44016000</v>
      </c>
      <c r="D41" s="389">
        <f>+C41</f>
        <v>44016000</v>
      </c>
      <c r="E41" s="389">
        <f>+D41+492578</f>
        <v>44508578</v>
      </c>
      <c r="F41" s="389"/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9"/>
        <v>44016000</v>
      </c>
      <c r="N41" s="391">
        <f t="shared" si="9"/>
        <v>44016000</v>
      </c>
      <c r="O41" s="391">
        <f t="shared" si="10"/>
        <v>44508578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389"/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9"/>
        <v>0</v>
      </c>
      <c r="N42" s="391">
        <f t="shared" si="9"/>
        <v>0</v>
      </c>
      <c r="O42" s="391">
        <f t="shared" si="10"/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89">
        <v>0</v>
      </c>
      <c r="E43" s="389">
        <v>0</v>
      </c>
      <c r="F43" s="373"/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9"/>
        <v>0</v>
      </c>
      <c r="N43" s="391">
        <f t="shared" si="9"/>
        <v>0</v>
      </c>
      <c r="O43" s="391">
        <f t="shared" si="10"/>
        <v>0</v>
      </c>
    </row>
    <row r="44" spans="1:15" x14ac:dyDescent="0.25">
      <c r="A44" s="430" t="s">
        <v>91</v>
      </c>
      <c r="B44" s="349" t="s">
        <v>330</v>
      </c>
      <c r="C44" s="389"/>
      <c r="D44" s="373"/>
      <c r="E44" s="373"/>
      <c r="F44" s="373"/>
      <c r="G44" s="389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73"/>
      <c r="E45" s="373"/>
      <c r="F45" s="373"/>
      <c r="G45" s="389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432" t="s">
        <v>98</v>
      </c>
      <c r="C46" s="389"/>
      <c r="D46" s="373"/>
      <c r="E46" s="373"/>
      <c r="F46" s="373"/>
      <c r="G46" s="389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432" t="s">
        <v>99</v>
      </c>
      <c r="C47" s="389"/>
      <c r="D47" s="373"/>
      <c r="E47" s="373"/>
      <c r="F47" s="373"/>
      <c r="G47" s="389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/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D48+H48+L48</f>
        <v>0</v>
      </c>
      <c r="O48" s="391">
        <f>E48+I48+L48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391"/>
      <c r="O49" s="391"/>
    </row>
    <row r="50" spans="1:15" x14ac:dyDescent="0.25">
      <c r="A50" s="431" t="s">
        <v>12</v>
      </c>
      <c r="B50" s="350" t="s">
        <v>100</v>
      </c>
      <c r="C50" s="389">
        <f>C51+C52+C53</f>
        <v>635000</v>
      </c>
      <c r="D50" s="389">
        <f>D51+D52+D53</f>
        <v>635000</v>
      </c>
      <c r="E50" s="389">
        <f>E51+E52+E53</f>
        <v>635000</v>
      </c>
      <c r="F50" s="389"/>
      <c r="G50" s="389">
        <f>G51+G52+G53</f>
        <v>0</v>
      </c>
      <c r="H50" s="389">
        <f>H51+H52+H53</f>
        <v>0</v>
      </c>
      <c r="I50" s="389">
        <f>I51+I52+I53</f>
        <v>0</v>
      </c>
      <c r="J50" s="389">
        <f>J51+J52+J53</f>
        <v>0</v>
      </c>
      <c r="K50" s="389">
        <v>0</v>
      </c>
      <c r="L50" s="389">
        <v>0</v>
      </c>
      <c r="M50" s="391">
        <f t="shared" ref="M50:N55" si="11">C50+G50+K50</f>
        <v>635000</v>
      </c>
      <c r="N50" s="391">
        <f t="shared" si="11"/>
        <v>635000</v>
      </c>
      <c r="O50" s="391">
        <f t="shared" ref="O50:O55" si="12">E50+I50+L50</f>
        <v>635000</v>
      </c>
    </row>
    <row r="51" spans="1:15" x14ac:dyDescent="0.25">
      <c r="A51" s="430" t="s">
        <v>49</v>
      </c>
      <c r="B51" s="349" t="s">
        <v>9</v>
      </c>
      <c r="C51" s="389">
        <v>635000</v>
      </c>
      <c r="D51" s="389">
        <f>+C51</f>
        <v>635000</v>
      </c>
      <c r="E51" s="389">
        <f>+D51</f>
        <v>635000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11"/>
        <v>635000</v>
      </c>
      <c r="N51" s="391">
        <f t="shared" si="11"/>
        <v>635000</v>
      </c>
      <c r="O51" s="391">
        <f t="shared" si="12"/>
        <v>635000</v>
      </c>
    </row>
    <row r="52" spans="1:15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v>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11"/>
        <v>0</v>
      </c>
      <c r="N52" s="391">
        <f t="shared" si="11"/>
        <v>0</v>
      </c>
      <c r="O52" s="391">
        <f t="shared" si="12"/>
        <v>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11"/>
        <v>0</v>
      </c>
      <c r="N53" s="391">
        <f t="shared" si="11"/>
        <v>0</v>
      </c>
      <c r="O53" s="391">
        <f t="shared" si="12"/>
        <v>0</v>
      </c>
    </row>
    <row r="54" spans="1:15" x14ac:dyDescent="0.25">
      <c r="A54" s="433" t="s">
        <v>13</v>
      </c>
      <c r="B54" s="351" t="s">
        <v>102</v>
      </c>
      <c r="C54" s="389">
        <f>C38+C50</f>
        <v>187791000</v>
      </c>
      <c r="D54" s="389">
        <f>D38+D50</f>
        <v>187791000</v>
      </c>
      <c r="E54" s="389">
        <f>E38+E50</f>
        <v>188283578</v>
      </c>
      <c r="F54" s="389"/>
      <c r="G54" s="389">
        <f t="shared" ref="G54:L54" si="13">G38+G50</f>
        <v>0</v>
      </c>
      <c r="H54" s="389">
        <f t="shared" si="13"/>
        <v>0</v>
      </c>
      <c r="I54" s="389">
        <f t="shared" si="13"/>
        <v>0</v>
      </c>
      <c r="J54" s="389">
        <f t="shared" si="13"/>
        <v>0</v>
      </c>
      <c r="K54" s="389">
        <f t="shared" si="13"/>
        <v>0</v>
      </c>
      <c r="L54" s="389">
        <f t="shared" si="13"/>
        <v>0</v>
      </c>
      <c r="M54" s="391">
        <f t="shared" si="11"/>
        <v>187791000</v>
      </c>
      <c r="N54" s="391">
        <f t="shared" si="11"/>
        <v>187791000</v>
      </c>
      <c r="O54" s="391">
        <f t="shared" si="12"/>
        <v>188283578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11"/>
        <v>0</v>
      </c>
      <c r="N55" s="391">
        <f t="shared" si="11"/>
        <v>0</v>
      </c>
      <c r="O55" s="391">
        <f t="shared" si="12"/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 t="shared" ref="M57:N59" si="14">C57+G57+K57</f>
        <v>0</v>
      </c>
      <c r="N57" s="391">
        <f t="shared" si="14"/>
        <v>0</v>
      </c>
      <c r="O57" s="391">
        <f>E57+I57+L57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 t="shared" si="14"/>
        <v>0</v>
      </c>
      <c r="N58" s="391">
        <f t="shared" si="14"/>
        <v>0</v>
      </c>
      <c r="O58" s="391">
        <f>E58+I58+L58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 t="shared" si="14"/>
        <v>0</v>
      </c>
      <c r="N59" s="391">
        <f t="shared" si="14"/>
        <v>0</v>
      </c>
      <c r="O59" s="391">
        <f>E59+I59+L59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 t="shared" ref="M61:N63" si="15">C61+G61+K61</f>
        <v>0</v>
      </c>
      <c r="N61" s="391">
        <f t="shared" si="15"/>
        <v>0</v>
      </c>
      <c r="O61" s="391">
        <f>E61+I61+L61</f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16">G55+G57+G58+G61</f>
        <v>0</v>
      </c>
      <c r="H62" s="389">
        <f t="shared" si="16"/>
        <v>0</v>
      </c>
      <c r="I62" s="389">
        <f t="shared" si="16"/>
        <v>0</v>
      </c>
      <c r="J62" s="389">
        <f t="shared" si="16"/>
        <v>0</v>
      </c>
      <c r="K62" s="389">
        <f t="shared" si="16"/>
        <v>0</v>
      </c>
      <c r="L62" s="389">
        <f t="shared" si="16"/>
        <v>0</v>
      </c>
      <c r="M62" s="391">
        <f t="shared" si="15"/>
        <v>0</v>
      </c>
      <c r="N62" s="391">
        <f t="shared" si="15"/>
        <v>0</v>
      </c>
      <c r="O62" s="391">
        <f>E62+I62+L62</f>
        <v>0</v>
      </c>
    </row>
    <row r="63" spans="1:15" ht="21" x14ac:dyDescent="0.25">
      <c r="A63" s="613" t="s">
        <v>20</v>
      </c>
      <c r="B63" s="614" t="s">
        <v>107</v>
      </c>
      <c r="C63" s="389">
        <f>C54+C62</f>
        <v>187791000</v>
      </c>
      <c r="D63" s="389">
        <f>D54+D62</f>
        <v>187791000</v>
      </c>
      <c r="E63" s="389">
        <f>E54+E62</f>
        <v>188283578</v>
      </c>
      <c r="F63" s="389"/>
      <c r="G63" s="389">
        <f t="shared" ref="G63:L63" si="17">G54+G62</f>
        <v>0</v>
      </c>
      <c r="H63" s="389">
        <f t="shared" si="17"/>
        <v>0</v>
      </c>
      <c r="I63" s="389">
        <f t="shared" si="17"/>
        <v>0</v>
      </c>
      <c r="J63" s="389">
        <f t="shared" si="17"/>
        <v>0</v>
      </c>
      <c r="K63" s="389">
        <f t="shared" si="17"/>
        <v>0</v>
      </c>
      <c r="L63" s="389">
        <f t="shared" si="17"/>
        <v>0</v>
      </c>
      <c r="M63" s="391">
        <f t="shared" si="15"/>
        <v>187791000</v>
      </c>
      <c r="N63" s="391">
        <f>D63+H63+L63</f>
        <v>187791000</v>
      </c>
      <c r="O63" s="391">
        <f>E63+I63+L63</f>
        <v>188283578</v>
      </c>
    </row>
    <row r="64" spans="1:15" x14ac:dyDescent="0.25">
      <c r="A64" s="436"/>
      <c r="B64" s="436"/>
      <c r="C64" s="436">
        <f t="shared" ref="C64:O64" si="18">+C63-C34</f>
        <v>0</v>
      </c>
      <c r="D64" s="436">
        <f t="shared" si="18"/>
        <v>0</v>
      </c>
      <c r="E64" s="436">
        <f t="shared" si="18"/>
        <v>0</v>
      </c>
      <c r="F64" s="436">
        <f t="shared" si="18"/>
        <v>0</v>
      </c>
      <c r="G64" s="436">
        <f t="shared" si="18"/>
        <v>0</v>
      </c>
      <c r="H64" s="436">
        <f t="shared" si="18"/>
        <v>0</v>
      </c>
      <c r="I64" s="436">
        <f t="shared" si="18"/>
        <v>0</v>
      </c>
      <c r="J64" s="436">
        <f t="shared" si="18"/>
        <v>0</v>
      </c>
      <c r="K64" s="436">
        <f t="shared" si="18"/>
        <v>0</v>
      </c>
      <c r="L64" s="436">
        <f t="shared" si="18"/>
        <v>0</v>
      </c>
      <c r="M64" s="436">
        <f t="shared" si="18"/>
        <v>0</v>
      </c>
      <c r="N64" s="436">
        <f t="shared" si="18"/>
        <v>0</v>
      </c>
      <c r="O64" s="436">
        <f t="shared" si="18"/>
        <v>0</v>
      </c>
    </row>
    <row r="65" spans="1:15" x14ac:dyDescent="0.25">
      <c r="A65" s="435"/>
      <c r="B65" s="440"/>
      <c r="C65" s="394"/>
      <c r="D65" s="394"/>
      <c r="E65" s="394">
        <f>+E63-E34</f>
        <v>0</v>
      </c>
      <c r="F65" s="394"/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3">
    <mergeCell ref="K36:M36"/>
    <mergeCell ref="A2:O2"/>
    <mergeCell ref="L1:O1"/>
  </mergeCells>
  <printOptions horizontalCentered="1"/>
  <pageMargins left="0.23" right="0.17" top="0.44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O193"/>
  <sheetViews>
    <sheetView workbookViewId="0">
      <selection activeCell="O63" sqref="A1:O63"/>
    </sheetView>
  </sheetViews>
  <sheetFormatPr defaultRowHeight="15" x14ac:dyDescent="0.25"/>
  <cols>
    <col min="1" max="1" width="5.28515625" style="380" customWidth="1"/>
    <col min="2" max="2" width="49" style="382" customWidth="1"/>
    <col min="3" max="3" width="10.5703125" style="382" customWidth="1"/>
    <col min="4" max="4" width="10.5703125" style="382" hidden="1" customWidth="1"/>
    <col min="5" max="5" width="10.5703125" style="382" customWidth="1"/>
    <col min="6" max="6" width="10.5703125" style="382" hidden="1" customWidth="1"/>
    <col min="7" max="7" width="10" style="382" customWidth="1"/>
    <col min="8" max="8" width="10" style="382" hidden="1" customWidth="1"/>
    <col min="9" max="9" width="10" style="382" customWidth="1"/>
    <col min="10" max="10" width="10" style="382" hidden="1" customWidth="1"/>
    <col min="11" max="11" width="8.85546875" style="382"/>
    <col min="12" max="12" width="9.140625" style="382" customWidth="1"/>
    <col min="13" max="13" width="10.28515625" style="382" customWidth="1"/>
    <col min="14" max="14" width="10.28515625" style="382" hidden="1" customWidth="1"/>
    <col min="15" max="15" width="11.140625" style="382" customWidth="1"/>
  </cols>
  <sheetData>
    <row r="1" spans="1:15" ht="45.75" customHeight="1" x14ac:dyDescent="0.25">
      <c r="B1" s="359"/>
      <c r="C1" s="467"/>
      <c r="D1" s="467"/>
      <c r="E1" s="467"/>
      <c r="F1" s="467"/>
      <c r="G1" s="467"/>
      <c r="H1" s="467"/>
      <c r="I1" s="467"/>
      <c r="J1" s="467"/>
      <c r="K1" s="359"/>
      <c r="L1" s="1086" t="s">
        <v>669</v>
      </c>
      <c r="M1" s="1086"/>
      <c r="N1" s="1086"/>
      <c r="O1" s="1086"/>
    </row>
    <row r="2" spans="1:15" ht="39" customHeight="1" x14ac:dyDescent="0.25">
      <c r="A2" s="1103" t="s">
        <v>668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5" x14ac:dyDescent="0.25">
      <c r="A3" s="384"/>
      <c r="B3" s="462" t="s">
        <v>37</v>
      </c>
      <c r="C3" s="385"/>
      <c r="D3" s="385"/>
      <c r="E3" s="385"/>
      <c r="F3" s="385"/>
      <c r="G3" s="381"/>
      <c r="H3" s="381"/>
      <c r="I3" s="381"/>
      <c r="J3" s="381"/>
      <c r="L3" s="466"/>
      <c r="M3" s="466" t="s">
        <v>339</v>
      </c>
      <c r="N3" s="465"/>
      <c r="O3" s="465"/>
    </row>
    <row r="4" spans="1:15" s="764" customFormat="1" ht="63" x14ac:dyDescent="0.25">
      <c r="A4" s="625" t="s">
        <v>223</v>
      </c>
      <c r="B4" s="625" t="s">
        <v>31</v>
      </c>
      <c r="C4" s="753" t="s">
        <v>460</v>
      </c>
      <c r="D4" s="900" t="s">
        <v>459</v>
      </c>
      <c r="E4" s="937" t="s">
        <v>461</v>
      </c>
      <c r="F4" s="753" t="s">
        <v>462</v>
      </c>
      <c r="G4" s="753" t="s">
        <v>463</v>
      </c>
      <c r="H4" s="924" t="s">
        <v>642</v>
      </c>
      <c r="I4" s="937" t="s">
        <v>643</v>
      </c>
      <c r="J4" s="753" t="s">
        <v>644</v>
      </c>
      <c r="K4" s="753" t="s">
        <v>465</v>
      </c>
      <c r="L4" s="925" t="s">
        <v>466</v>
      </c>
      <c r="M4" s="753" t="s">
        <v>467</v>
      </c>
      <c r="N4" s="900" t="s">
        <v>468</v>
      </c>
      <c r="O4" s="338" t="s">
        <v>469</v>
      </c>
    </row>
    <row r="5" spans="1:15" x14ac:dyDescent="0.25">
      <c r="A5" s="387" t="s">
        <v>11</v>
      </c>
      <c r="B5" s="348" t="s">
        <v>69</v>
      </c>
      <c r="C5" s="389">
        <v>0</v>
      </c>
      <c r="D5" s="389">
        <v>0</v>
      </c>
      <c r="E5" s="389">
        <v>0</v>
      </c>
      <c r="F5" s="389"/>
      <c r="G5" s="389">
        <v>0</v>
      </c>
      <c r="H5" s="389">
        <v>0</v>
      </c>
      <c r="I5" s="389">
        <v>0</v>
      </c>
      <c r="J5" s="389">
        <v>0</v>
      </c>
      <c r="K5" s="391">
        <v>0</v>
      </c>
      <c r="L5" s="391">
        <v>0</v>
      </c>
      <c r="M5" s="391">
        <f>C5+G5+K5</f>
        <v>0</v>
      </c>
      <c r="N5" s="391">
        <f>D5+H5+L5</f>
        <v>0</v>
      </c>
      <c r="O5" s="391">
        <f>E5+I5+L5</f>
        <v>0</v>
      </c>
    </row>
    <row r="6" spans="1:15" x14ac:dyDescent="0.25">
      <c r="A6" s="387" t="s">
        <v>12</v>
      </c>
      <c r="B6" s="348" t="s">
        <v>156</v>
      </c>
      <c r="C6" s="389">
        <v>0</v>
      </c>
      <c r="D6" s="389"/>
      <c r="E6" s="389"/>
      <c r="F6" s="389"/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91">
        <f>C6+G6+K6</f>
        <v>0</v>
      </c>
      <c r="N6" s="391">
        <f>D6+H6+L6</f>
        <v>0</v>
      </c>
      <c r="O6" s="391">
        <f>E6+I6+L6</f>
        <v>0</v>
      </c>
    </row>
    <row r="7" spans="1:15" x14ac:dyDescent="0.25">
      <c r="A7" s="395" t="s">
        <v>49</v>
      </c>
      <c r="B7" s="349" t="s">
        <v>70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1"/>
      <c r="N7" s="391"/>
      <c r="O7" s="391"/>
    </row>
    <row r="8" spans="1:15" x14ac:dyDescent="0.25">
      <c r="A8" s="395" t="s">
        <v>71</v>
      </c>
      <c r="B8" s="349" t="s">
        <v>363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1"/>
      <c r="N8" s="391"/>
      <c r="O8" s="391"/>
    </row>
    <row r="9" spans="1:15" x14ac:dyDescent="0.25">
      <c r="A9" s="395" t="s">
        <v>72</v>
      </c>
      <c r="B9" s="349" t="s">
        <v>74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1"/>
      <c r="N9" s="391"/>
      <c r="O9" s="391"/>
    </row>
    <row r="10" spans="1:15" x14ac:dyDescent="0.25">
      <c r="A10" s="395" t="s">
        <v>73</v>
      </c>
      <c r="B10" s="349" t="s">
        <v>284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1"/>
      <c r="N10" s="391"/>
      <c r="O10" s="391"/>
    </row>
    <row r="11" spans="1:15" x14ac:dyDescent="0.25">
      <c r="A11" s="387" t="s">
        <v>13</v>
      </c>
      <c r="B11" s="350" t="s">
        <v>138</v>
      </c>
      <c r="C11" s="389">
        <v>0</v>
      </c>
      <c r="D11" s="389">
        <v>0</v>
      </c>
      <c r="E11" s="389">
        <v>0</v>
      </c>
      <c r="F11" s="389"/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v>0</v>
      </c>
      <c r="M11" s="391">
        <f>C11+G11+K11</f>
        <v>0</v>
      </c>
      <c r="N11" s="391">
        <f>D11+H11+L11</f>
        <v>0</v>
      </c>
      <c r="O11" s="391">
        <f>E11+I11+L11</f>
        <v>0</v>
      </c>
    </row>
    <row r="12" spans="1:15" x14ac:dyDescent="0.25">
      <c r="A12" s="387" t="s">
        <v>14</v>
      </c>
      <c r="B12" s="350" t="s">
        <v>75</v>
      </c>
      <c r="C12" s="389">
        <v>0</v>
      </c>
      <c r="D12" s="389">
        <v>0</v>
      </c>
      <c r="E12" s="389">
        <v>0</v>
      </c>
      <c r="F12" s="389"/>
      <c r="G12" s="389">
        <v>0</v>
      </c>
      <c r="H12" s="389">
        <v>0</v>
      </c>
      <c r="I12" s="389">
        <v>0</v>
      </c>
      <c r="J12" s="389">
        <v>0</v>
      </c>
      <c r="K12" s="389">
        <v>0</v>
      </c>
      <c r="L12" s="389">
        <v>0</v>
      </c>
      <c r="M12" s="391">
        <f>C12+G12+K12</f>
        <v>0</v>
      </c>
      <c r="N12" s="391">
        <f>D12+H12+L12</f>
        <v>0</v>
      </c>
      <c r="O12" s="391">
        <f>E12+I12+L12</f>
        <v>0</v>
      </c>
    </row>
    <row r="13" spans="1:15" x14ac:dyDescent="0.25">
      <c r="A13" s="395" t="s">
        <v>430</v>
      </c>
      <c r="B13" s="349" t="s">
        <v>418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91"/>
      <c r="N13" s="391"/>
      <c r="O13" s="391"/>
    </row>
    <row r="14" spans="1:15" x14ac:dyDescent="0.25">
      <c r="A14" s="395" t="s">
        <v>431</v>
      </c>
      <c r="B14" s="349" t="s">
        <v>419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1"/>
      <c r="N14" s="391"/>
      <c r="O14" s="391"/>
    </row>
    <row r="15" spans="1:15" x14ac:dyDescent="0.25">
      <c r="A15" s="395" t="s">
        <v>432</v>
      </c>
      <c r="B15" s="349" t="s">
        <v>417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1"/>
      <c r="N15" s="391"/>
      <c r="O15" s="391"/>
    </row>
    <row r="16" spans="1:15" x14ac:dyDescent="0.25">
      <c r="A16" s="395" t="s">
        <v>433</v>
      </c>
      <c r="B16" s="349" t="s">
        <v>427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91"/>
      <c r="N16" s="391"/>
      <c r="O16" s="391"/>
    </row>
    <row r="17" spans="1:15" x14ac:dyDescent="0.25">
      <c r="A17" s="395" t="s">
        <v>434</v>
      </c>
      <c r="B17" s="349" t="s">
        <v>426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91"/>
      <c r="N17" s="391"/>
      <c r="O17" s="391"/>
    </row>
    <row r="18" spans="1:15" x14ac:dyDescent="0.25">
      <c r="A18" s="395" t="s">
        <v>435</v>
      </c>
      <c r="B18" s="349" t="s">
        <v>428</v>
      </c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91"/>
      <c r="N18" s="391"/>
      <c r="O18" s="391"/>
    </row>
    <row r="19" spans="1:15" x14ac:dyDescent="0.25">
      <c r="A19" s="387" t="s">
        <v>15</v>
      </c>
      <c r="B19" s="350" t="s">
        <v>76</v>
      </c>
      <c r="C19" s="389">
        <v>11430000</v>
      </c>
      <c r="D19" s="389">
        <f>+C19</f>
        <v>11430000</v>
      </c>
      <c r="E19" s="389">
        <f>+D19</f>
        <v>11430000</v>
      </c>
      <c r="F19" s="389"/>
      <c r="G19" s="389">
        <v>0</v>
      </c>
      <c r="H19" s="389">
        <v>0</v>
      </c>
      <c r="I19" s="389">
        <v>0</v>
      </c>
      <c r="J19" s="389">
        <v>0</v>
      </c>
      <c r="K19" s="389">
        <v>0</v>
      </c>
      <c r="L19" s="389">
        <v>0</v>
      </c>
      <c r="M19" s="391">
        <f t="shared" ref="M19:N24" si="0">C19+G19+K19</f>
        <v>11430000</v>
      </c>
      <c r="N19" s="391">
        <f t="shared" si="0"/>
        <v>11430000</v>
      </c>
      <c r="O19" s="391">
        <f t="shared" ref="O19:O24" si="1">E19+I19+L19</f>
        <v>11430000</v>
      </c>
    </row>
    <row r="20" spans="1:15" x14ac:dyDescent="0.25">
      <c r="A20" s="387" t="s">
        <v>16</v>
      </c>
      <c r="B20" s="350" t="s">
        <v>77</v>
      </c>
      <c r="C20" s="389">
        <v>0</v>
      </c>
      <c r="D20" s="389">
        <v>0</v>
      </c>
      <c r="E20" s="389">
        <v>0</v>
      </c>
      <c r="F20" s="389"/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91">
        <f t="shared" si="0"/>
        <v>0</v>
      </c>
      <c r="N20" s="391">
        <f t="shared" si="0"/>
        <v>0</v>
      </c>
      <c r="O20" s="391">
        <f t="shared" si="1"/>
        <v>0</v>
      </c>
    </row>
    <row r="21" spans="1:15" x14ac:dyDescent="0.25">
      <c r="A21" s="387" t="s">
        <v>17</v>
      </c>
      <c r="B21" s="350" t="s">
        <v>78</v>
      </c>
      <c r="C21" s="389">
        <v>0</v>
      </c>
      <c r="D21" s="389">
        <v>0</v>
      </c>
      <c r="E21" s="389">
        <v>0</v>
      </c>
      <c r="F21" s="389"/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91">
        <f t="shared" si="0"/>
        <v>0</v>
      </c>
      <c r="N21" s="391">
        <f t="shared" si="0"/>
        <v>0</v>
      </c>
      <c r="O21" s="391">
        <f t="shared" si="1"/>
        <v>0</v>
      </c>
    </row>
    <row r="22" spans="1:15" x14ac:dyDescent="0.25">
      <c r="A22" s="387" t="s">
        <v>18</v>
      </c>
      <c r="B22" s="350" t="s">
        <v>79</v>
      </c>
      <c r="C22" s="389">
        <v>0</v>
      </c>
      <c r="D22" s="389">
        <v>0</v>
      </c>
      <c r="E22" s="389">
        <v>0</v>
      </c>
      <c r="F22" s="389"/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89">
        <v>0</v>
      </c>
      <c r="M22" s="391">
        <f t="shared" si="0"/>
        <v>0</v>
      </c>
      <c r="N22" s="391">
        <f t="shared" si="0"/>
        <v>0</v>
      </c>
      <c r="O22" s="391">
        <f t="shared" si="1"/>
        <v>0</v>
      </c>
    </row>
    <row r="23" spans="1:15" x14ac:dyDescent="0.25">
      <c r="A23" s="396" t="s">
        <v>19</v>
      </c>
      <c r="B23" s="351" t="s">
        <v>80</v>
      </c>
      <c r="C23" s="389">
        <f>C5+C6+C11+C12+C19+C20+C21+C22</f>
        <v>11430000</v>
      </c>
      <c r="D23" s="389">
        <f>D5+D6+D11+D12+D19+D20+D21+D22</f>
        <v>11430000</v>
      </c>
      <c r="E23" s="389">
        <f>E5+E6+E11+E12+E19+E20+E21+E22</f>
        <v>11430000</v>
      </c>
      <c r="F23" s="389"/>
      <c r="G23" s="389">
        <f t="shared" ref="G23:L23" si="2">G5+G6+G11+G12+G19+G20+G21+G22</f>
        <v>0</v>
      </c>
      <c r="H23" s="389">
        <f t="shared" si="2"/>
        <v>0</v>
      </c>
      <c r="I23" s="389">
        <f t="shared" si="2"/>
        <v>0</v>
      </c>
      <c r="J23" s="389">
        <f t="shared" si="2"/>
        <v>0</v>
      </c>
      <c r="K23" s="389">
        <f t="shared" si="2"/>
        <v>0</v>
      </c>
      <c r="L23" s="389">
        <f t="shared" si="2"/>
        <v>0</v>
      </c>
      <c r="M23" s="391">
        <f t="shared" si="0"/>
        <v>11430000</v>
      </c>
      <c r="N23" s="391">
        <f t="shared" si="0"/>
        <v>11430000</v>
      </c>
      <c r="O23" s="391">
        <f t="shared" si="1"/>
        <v>11430000</v>
      </c>
    </row>
    <row r="24" spans="1:15" x14ac:dyDescent="0.25">
      <c r="A24" s="395" t="s">
        <v>20</v>
      </c>
      <c r="B24" s="349" t="s">
        <v>356</v>
      </c>
      <c r="C24" s="389">
        <v>0</v>
      </c>
      <c r="D24" s="389">
        <v>0</v>
      </c>
      <c r="E24" s="389">
        <v>0</v>
      </c>
      <c r="F24" s="389"/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91">
        <f t="shared" si="0"/>
        <v>0</v>
      </c>
      <c r="N24" s="391">
        <f t="shared" si="0"/>
        <v>0</v>
      </c>
      <c r="O24" s="391">
        <f t="shared" si="1"/>
        <v>0</v>
      </c>
    </row>
    <row r="25" spans="1:15" x14ac:dyDescent="0.25">
      <c r="A25" s="395" t="s">
        <v>21</v>
      </c>
      <c r="B25" s="349" t="s">
        <v>357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91"/>
      <c r="N25" s="391"/>
      <c r="O25" s="391"/>
    </row>
    <row r="26" spans="1:15" x14ac:dyDescent="0.25">
      <c r="A26" s="395" t="s">
        <v>21</v>
      </c>
      <c r="B26" s="349" t="s">
        <v>82</v>
      </c>
      <c r="C26" s="389">
        <v>0</v>
      </c>
      <c r="D26" s="389">
        <v>0</v>
      </c>
      <c r="E26" s="389">
        <v>0</v>
      </c>
      <c r="F26" s="389"/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91">
        <f t="shared" ref="M26:N29" si="3">C26+G26+K26</f>
        <v>0</v>
      </c>
      <c r="N26" s="391">
        <f t="shared" si="3"/>
        <v>0</v>
      </c>
      <c r="O26" s="391">
        <f>E26+I26+L26</f>
        <v>0</v>
      </c>
    </row>
    <row r="27" spans="1:15" s="105" customFormat="1" x14ac:dyDescent="0.25">
      <c r="A27" s="387" t="s">
        <v>22</v>
      </c>
      <c r="B27" s="350" t="s">
        <v>152</v>
      </c>
      <c r="C27" s="391">
        <v>0</v>
      </c>
      <c r="D27" s="391">
        <v>0</v>
      </c>
      <c r="E27" s="391">
        <v>180041</v>
      </c>
      <c r="F27" s="391"/>
      <c r="G27" s="391">
        <v>0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f t="shared" si="3"/>
        <v>0</v>
      </c>
      <c r="N27" s="391">
        <f t="shared" si="3"/>
        <v>0</v>
      </c>
      <c r="O27" s="391">
        <f>E27+I27+L27</f>
        <v>180041</v>
      </c>
    </row>
    <row r="28" spans="1:15" x14ac:dyDescent="0.25">
      <c r="A28" s="395" t="s">
        <v>23</v>
      </c>
      <c r="B28" s="349" t="s">
        <v>83</v>
      </c>
      <c r="C28" s="389">
        <f>+C29</f>
        <v>34876000</v>
      </c>
      <c r="D28" s="389">
        <f>+C28</f>
        <v>34876000</v>
      </c>
      <c r="E28" s="389">
        <f>+D28</f>
        <v>34876000</v>
      </c>
      <c r="F28" s="389"/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91">
        <f t="shared" si="3"/>
        <v>34876000</v>
      </c>
      <c r="N28" s="391">
        <f t="shared" si="3"/>
        <v>34876000</v>
      </c>
      <c r="O28" s="391">
        <f>E28+I28+L28</f>
        <v>34876000</v>
      </c>
    </row>
    <row r="29" spans="1:15" x14ac:dyDescent="0.25">
      <c r="A29" s="395" t="s">
        <v>114</v>
      </c>
      <c r="B29" s="349" t="s">
        <v>84</v>
      </c>
      <c r="C29" s="389">
        <v>34876000</v>
      </c>
      <c r="D29" s="389">
        <f>+C29</f>
        <v>34876000</v>
      </c>
      <c r="E29" s="389">
        <f>+D29</f>
        <v>34876000</v>
      </c>
      <c r="F29" s="389"/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91">
        <f t="shared" si="3"/>
        <v>34876000</v>
      </c>
      <c r="N29" s="391">
        <f t="shared" si="3"/>
        <v>34876000</v>
      </c>
      <c r="O29" s="391">
        <f>E29+I29+L29</f>
        <v>34876000</v>
      </c>
    </row>
    <row r="30" spans="1:15" x14ac:dyDescent="0.25">
      <c r="A30" s="395" t="s">
        <v>115</v>
      </c>
      <c r="B30" s="352" t="s">
        <v>210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1"/>
      <c r="N30" s="391"/>
      <c r="O30" s="391"/>
    </row>
    <row r="31" spans="1:15" x14ac:dyDescent="0.25">
      <c r="A31" s="395" t="s">
        <v>24</v>
      </c>
      <c r="B31" s="352" t="s">
        <v>85</v>
      </c>
      <c r="C31" s="389">
        <v>0</v>
      </c>
      <c r="D31" s="389">
        <v>0</v>
      </c>
      <c r="E31" s="389">
        <v>0</v>
      </c>
      <c r="F31" s="389"/>
      <c r="G31" s="389">
        <v>0</v>
      </c>
      <c r="H31" s="389">
        <v>0</v>
      </c>
      <c r="I31" s="389">
        <v>0</v>
      </c>
      <c r="J31" s="389">
        <v>0</v>
      </c>
      <c r="K31" s="389">
        <v>0</v>
      </c>
      <c r="L31" s="389">
        <v>0</v>
      </c>
      <c r="M31" s="391">
        <f t="shared" ref="M31:N34" si="4">C31+G31+K31</f>
        <v>0</v>
      </c>
      <c r="N31" s="391">
        <f t="shared" si="4"/>
        <v>0</v>
      </c>
      <c r="O31" s="391">
        <f>E31+I31+L31</f>
        <v>0</v>
      </c>
    </row>
    <row r="32" spans="1:15" x14ac:dyDescent="0.25">
      <c r="A32" s="395" t="s">
        <v>25</v>
      </c>
      <c r="B32" s="352" t="s">
        <v>86</v>
      </c>
      <c r="C32" s="389">
        <v>0</v>
      </c>
      <c r="D32" s="389">
        <v>0</v>
      </c>
      <c r="E32" s="389">
        <v>0</v>
      </c>
      <c r="F32" s="389"/>
      <c r="G32" s="389">
        <v>0</v>
      </c>
      <c r="H32" s="389">
        <v>0</v>
      </c>
      <c r="I32" s="389">
        <v>0</v>
      </c>
      <c r="J32" s="389">
        <v>0</v>
      </c>
      <c r="K32" s="389">
        <v>0</v>
      </c>
      <c r="L32" s="389">
        <v>0</v>
      </c>
      <c r="M32" s="391">
        <f t="shared" si="4"/>
        <v>0</v>
      </c>
      <c r="N32" s="391">
        <f t="shared" si="4"/>
        <v>0</v>
      </c>
      <c r="O32" s="391">
        <f>E32+I32+L32</f>
        <v>0</v>
      </c>
    </row>
    <row r="33" spans="1:15" x14ac:dyDescent="0.25">
      <c r="A33" s="396" t="s">
        <v>26</v>
      </c>
      <c r="B33" s="351" t="s">
        <v>87</v>
      </c>
      <c r="C33" s="389">
        <f>C24+C26+C27+C28+C31+C32</f>
        <v>34876000</v>
      </c>
      <c r="D33" s="389">
        <f>D24+D26+D27+D28+D31+D32</f>
        <v>34876000</v>
      </c>
      <c r="E33" s="389">
        <f>E24+E26+E27+E28+E31+E32</f>
        <v>35056041</v>
      </c>
      <c r="F33" s="389"/>
      <c r="G33" s="389">
        <f t="shared" ref="G33:L33" si="5">G24+G26+G27+G28+G31+G32</f>
        <v>0</v>
      </c>
      <c r="H33" s="389">
        <f t="shared" si="5"/>
        <v>0</v>
      </c>
      <c r="I33" s="389">
        <f t="shared" si="5"/>
        <v>0</v>
      </c>
      <c r="J33" s="389">
        <f t="shared" si="5"/>
        <v>0</v>
      </c>
      <c r="K33" s="389">
        <f t="shared" si="5"/>
        <v>0</v>
      </c>
      <c r="L33" s="389">
        <f t="shared" si="5"/>
        <v>0</v>
      </c>
      <c r="M33" s="391">
        <f t="shared" si="4"/>
        <v>34876000</v>
      </c>
      <c r="N33" s="391">
        <f t="shared" si="4"/>
        <v>34876000</v>
      </c>
      <c r="O33" s="391">
        <f>E33+I33+L33</f>
        <v>35056041</v>
      </c>
    </row>
    <row r="34" spans="1:15" ht="21" x14ac:dyDescent="0.25">
      <c r="A34" s="613" t="s">
        <v>27</v>
      </c>
      <c r="B34" s="614" t="s">
        <v>88</v>
      </c>
      <c r="C34" s="389">
        <f>C23+C33</f>
        <v>46306000</v>
      </c>
      <c r="D34" s="389">
        <f>D23+D33</f>
        <v>46306000</v>
      </c>
      <c r="E34" s="389">
        <f>E23+E33</f>
        <v>46486041</v>
      </c>
      <c r="F34" s="389"/>
      <c r="G34" s="389">
        <f t="shared" ref="G34:L34" si="6">G23+G33</f>
        <v>0</v>
      </c>
      <c r="H34" s="389">
        <f t="shared" si="6"/>
        <v>0</v>
      </c>
      <c r="I34" s="389">
        <f t="shared" si="6"/>
        <v>0</v>
      </c>
      <c r="J34" s="389">
        <f t="shared" si="6"/>
        <v>0</v>
      </c>
      <c r="K34" s="389">
        <f t="shared" si="6"/>
        <v>0</v>
      </c>
      <c r="L34" s="389">
        <f t="shared" si="6"/>
        <v>0</v>
      </c>
      <c r="M34" s="391">
        <f t="shared" si="4"/>
        <v>46306000</v>
      </c>
      <c r="N34" s="402">
        <f t="shared" si="4"/>
        <v>46306000</v>
      </c>
      <c r="O34" s="402">
        <f>E34+I34+L34</f>
        <v>46486041</v>
      </c>
    </row>
    <row r="35" spans="1:15" x14ac:dyDescent="0.25">
      <c r="A35" s="403"/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7"/>
      <c r="N35" s="407"/>
      <c r="O35" s="407"/>
    </row>
    <row r="36" spans="1:15" x14ac:dyDescent="0.25">
      <c r="A36" s="411"/>
      <c r="B36" s="418" t="s">
        <v>5</v>
      </c>
      <c r="C36" s="416"/>
      <c r="D36" s="416"/>
      <c r="E36" s="416"/>
      <c r="F36" s="416"/>
      <c r="G36" s="416"/>
      <c r="H36" s="416"/>
      <c r="I36" s="416"/>
      <c r="J36" s="416"/>
      <c r="K36" s="1101" t="s">
        <v>339</v>
      </c>
      <c r="L36" s="1101"/>
      <c r="M36" s="1102"/>
      <c r="N36" s="417"/>
      <c r="O36" s="417"/>
    </row>
    <row r="37" spans="1:15" s="764" customFormat="1" ht="63" x14ac:dyDescent="0.25">
      <c r="A37" s="625" t="s">
        <v>223</v>
      </c>
      <c r="B37" s="625" t="s">
        <v>31</v>
      </c>
      <c r="C37" s="753" t="s">
        <v>460</v>
      </c>
      <c r="D37" s="900" t="s">
        <v>459</v>
      </c>
      <c r="E37" s="937" t="s">
        <v>461</v>
      </c>
      <c r="F37" s="753" t="s">
        <v>462</v>
      </c>
      <c r="G37" s="753" t="s">
        <v>463</v>
      </c>
      <c r="H37" s="924" t="s">
        <v>642</v>
      </c>
      <c r="I37" s="937" t="s">
        <v>643</v>
      </c>
      <c r="J37" s="753" t="s">
        <v>644</v>
      </c>
      <c r="K37" s="753" t="s">
        <v>465</v>
      </c>
      <c r="L37" s="925" t="s">
        <v>466</v>
      </c>
      <c r="M37" s="753" t="s">
        <v>467</v>
      </c>
      <c r="N37" s="900" t="s">
        <v>468</v>
      </c>
      <c r="O37" s="338" t="s">
        <v>469</v>
      </c>
    </row>
    <row r="38" spans="1:15" x14ac:dyDescent="0.25">
      <c r="A38" s="421" t="s">
        <v>11</v>
      </c>
      <c r="B38" s="350" t="s">
        <v>90</v>
      </c>
      <c r="C38" s="392">
        <f>C39+C40+C41+C42+C43+C48</f>
        <v>45806000</v>
      </c>
      <c r="D38" s="392">
        <f>D39+D40+D41+D42+D43+D48</f>
        <v>44656000</v>
      </c>
      <c r="E38" s="392">
        <f>E39+E40+E41+E42+E43+E48</f>
        <v>44156000</v>
      </c>
      <c r="F38" s="392"/>
      <c r="G38" s="392">
        <f t="shared" ref="G38:L38" si="7">G39+G40+G41+G42+G43+G48</f>
        <v>0</v>
      </c>
      <c r="H38" s="392">
        <f t="shared" si="7"/>
        <v>0</v>
      </c>
      <c r="I38" s="392">
        <f t="shared" si="7"/>
        <v>0</v>
      </c>
      <c r="J38" s="392">
        <f t="shared" si="7"/>
        <v>0</v>
      </c>
      <c r="K38" s="392">
        <f t="shared" si="7"/>
        <v>0</v>
      </c>
      <c r="L38" s="392">
        <f t="shared" si="7"/>
        <v>0</v>
      </c>
      <c r="M38" s="391">
        <f t="shared" ref="M38:N43" si="8">C38+G38+K38</f>
        <v>45806000</v>
      </c>
      <c r="N38" s="391">
        <f t="shared" si="8"/>
        <v>44656000</v>
      </c>
      <c r="O38" s="391">
        <f t="shared" ref="O38:O43" si="9">E38+I38+L38</f>
        <v>44156000</v>
      </c>
    </row>
    <row r="39" spans="1:15" x14ac:dyDescent="0.25">
      <c r="A39" s="425" t="s">
        <v>53</v>
      </c>
      <c r="B39" s="349" t="s">
        <v>6</v>
      </c>
      <c r="C39" s="389">
        <v>24186000</v>
      </c>
      <c r="D39" s="389">
        <f>+C39</f>
        <v>24186000</v>
      </c>
      <c r="E39" s="389">
        <f>+D39</f>
        <v>24186000</v>
      </c>
      <c r="F39" s="389"/>
      <c r="G39" s="389">
        <v>0</v>
      </c>
      <c r="H39" s="389">
        <v>0</v>
      </c>
      <c r="I39" s="389">
        <v>0</v>
      </c>
      <c r="J39" s="389">
        <v>0</v>
      </c>
      <c r="K39" s="389">
        <v>0</v>
      </c>
      <c r="L39" s="389">
        <v>0</v>
      </c>
      <c r="M39" s="391">
        <f t="shared" si="8"/>
        <v>24186000</v>
      </c>
      <c r="N39" s="391">
        <f t="shared" si="8"/>
        <v>24186000</v>
      </c>
      <c r="O39" s="391">
        <f t="shared" si="9"/>
        <v>24186000</v>
      </c>
    </row>
    <row r="40" spans="1:15" x14ac:dyDescent="0.25">
      <c r="A40" s="425" t="s">
        <v>54</v>
      </c>
      <c r="B40" s="349" t="s">
        <v>94</v>
      </c>
      <c r="C40" s="389">
        <v>3775000</v>
      </c>
      <c r="D40" s="389">
        <f>+C40</f>
        <v>3775000</v>
      </c>
      <c r="E40" s="389">
        <f>+D40</f>
        <v>3775000</v>
      </c>
      <c r="F40" s="389"/>
      <c r="G40" s="389">
        <v>0</v>
      </c>
      <c r="H40" s="389">
        <v>0</v>
      </c>
      <c r="I40" s="389">
        <v>0</v>
      </c>
      <c r="J40" s="389">
        <v>0</v>
      </c>
      <c r="K40" s="389">
        <v>0</v>
      </c>
      <c r="L40" s="389">
        <v>0</v>
      </c>
      <c r="M40" s="391">
        <f t="shared" si="8"/>
        <v>3775000</v>
      </c>
      <c r="N40" s="391">
        <f t="shared" si="8"/>
        <v>3775000</v>
      </c>
      <c r="O40" s="391">
        <f t="shared" si="9"/>
        <v>3775000</v>
      </c>
    </row>
    <row r="41" spans="1:15" x14ac:dyDescent="0.25">
      <c r="A41" s="425" t="s">
        <v>55</v>
      </c>
      <c r="B41" s="349" t="s">
        <v>95</v>
      </c>
      <c r="C41" s="389">
        <v>17845000</v>
      </c>
      <c r="D41" s="389">
        <v>16695000</v>
      </c>
      <c r="E41" s="389">
        <f>+D41-500000</f>
        <v>16195000</v>
      </c>
      <c r="F41" s="389"/>
      <c r="G41" s="389">
        <v>0</v>
      </c>
      <c r="H41" s="389">
        <v>0</v>
      </c>
      <c r="I41" s="389">
        <v>0</v>
      </c>
      <c r="J41" s="389">
        <v>0</v>
      </c>
      <c r="K41" s="389">
        <v>0</v>
      </c>
      <c r="L41" s="389">
        <v>0</v>
      </c>
      <c r="M41" s="391">
        <f t="shared" si="8"/>
        <v>17845000</v>
      </c>
      <c r="N41" s="391">
        <f t="shared" si="8"/>
        <v>16695000</v>
      </c>
      <c r="O41" s="391">
        <f t="shared" si="9"/>
        <v>16195000</v>
      </c>
    </row>
    <row r="42" spans="1:15" x14ac:dyDescent="0.25">
      <c r="A42" s="425" t="s">
        <v>56</v>
      </c>
      <c r="B42" s="349" t="s">
        <v>96</v>
      </c>
      <c r="C42" s="389">
        <v>0</v>
      </c>
      <c r="D42" s="389">
        <v>0</v>
      </c>
      <c r="E42" s="389">
        <v>0</v>
      </c>
      <c r="F42" s="389"/>
      <c r="G42" s="389">
        <v>0</v>
      </c>
      <c r="H42" s="389">
        <v>0</v>
      </c>
      <c r="I42" s="389">
        <v>0</v>
      </c>
      <c r="J42" s="389">
        <v>0</v>
      </c>
      <c r="K42" s="389">
        <v>0</v>
      </c>
      <c r="L42" s="389">
        <v>0</v>
      </c>
      <c r="M42" s="391">
        <f t="shared" si="8"/>
        <v>0</v>
      </c>
      <c r="N42" s="391">
        <f t="shared" si="8"/>
        <v>0</v>
      </c>
      <c r="O42" s="391">
        <f t="shared" si="9"/>
        <v>0</v>
      </c>
    </row>
    <row r="43" spans="1:15" x14ac:dyDescent="0.25">
      <c r="A43" s="429" t="s">
        <v>57</v>
      </c>
      <c r="B43" s="350" t="s">
        <v>97</v>
      </c>
      <c r="C43" s="389">
        <v>0</v>
      </c>
      <c r="D43" s="389"/>
      <c r="E43" s="389"/>
      <c r="F43" s="389"/>
      <c r="G43" s="389">
        <v>0</v>
      </c>
      <c r="H43" s="389">
        <v>0</v>
      </c>
      <c r="I43" s="389">
        <v>0</v>
      </c>
      <c r="J43" s="389">
        <v>0</v>
      </c>
      <c r="K43" s="389">
        <v>0</v>
      </c>
      <c r="L43" s="389">
        <v>0</v>
      </c>
      <c r="M43" s="391">
        <f t="shared" si="8"/>
        <v>0</v>
      </c>
      <c r="N43" s="391">
        <f t="shared" si="8"/>
        <v>0</v>
      </c>
      <c r="O43" s="391">
        <f t="shared" si="9"/>
        <v>0</v>
      </c>
    </row>
    <row r="44" spans="1:15" x14ac:dyDescent="0.25">
      <c r="A44" s="430" t="s">
        <v>91</v>
      </c>
      <c r="B44" s="349" t="s">
        <v>330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91"/>
      <c r="N44" s="391"/>
      <c r="O44" s="391"/>
    </row>
    <row r="45" spans="1:15" x14ac:dyDescent="0.25">
      <c r="A45" s="431" t="s">
        <v>92</v>
      </c>
      <c r="B45" s="350" t="s">
        <v>421</v>
      </c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1"/>
      <c r="N45" s="391"/>
      <c r="O45" s="391"/>
    </row>
    <row r="46" spans="1:15" x14ac:dyDescent="0.25">
      <c r="A46" s="430" t="s">
        <v>329</v>
      </c>
      <c r="B46" s="432" t="s">
        <v>98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91"/>
      <c r="N46" s="391"/>
      <c r="O46" s="391"/>
    </row>
    <row r="47" spans="1:15" x14ac:dyDescent="0.25">
      <c r="A47" s="430" t="s">
        <v>420</v>
      </c>
      <c r="B47" s="432" t="s">
        <v>99</v>
      </c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91"/>
      <c r="N47" s="391"/>
      <c r="O47" s="391"/>
    </row>
    <row r="48" spans="1:15" x14ac:dyDescent="0.25">
      <c r="A48" s="431" t="s">
        <v>93</v>
      </c>
      <c r="B48" s="350" t="s">
        <v>8</v>
      </c>
      <c r="C48" s="389">
        <v>0</v>
      </c>
      <c r="D48" s="389">
        <v>0</v>
      </c>
      <c r="E48" s="389">
        <v>0</v>
      </c>
      <c r="F48" s="389"/>
      <c r="G48" s="389">
        <v>0</v>
      </c>
      <c r="H48" s="389">
        <v>0</v>
      </c>
      <c r="I48" s="389">
        <v>0</v>
      </c>
      <c r="J48" s="389">
        <v>0</v>
      </c>
      <c r="K48" s="389">
        <v>0</v>
      </c>
      <c r="L48" s="389">
        <v>0</v>
      </c>
      <c r="M48" s="391">
        <f>C48+G48+K48</f>
        <v>0</v>
      </c>
      <c r="N48" s="391">
        <f>D48+H48+L48</f>
        <v>0</v>
      </c>
      <c r="O48" s="391">
        <f>E48+I48+L48</f>
        <v>0</v>
      </c>
    </row>
    <row r="49" spans="1:15" x14ac:dyDescent="0.25">
      <c r="A49" s="430"/>
      <c r="B49" s="349" t="s">
        <v>250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1"/>
      <c r="N49" s="391"/>
      <c r="O49" s="391"/>
    </row>
    <row r="50" spans="1:15" x14ac:dyDescent="0.25">
      <c r="A50" s="431" t="s">
        <v>12</v>
      </c>
      <c r="B50" s="350" t="s">
        <v>100</v>
      </c>
      <c r="C50" s="389">
        <f>+C51+C52+C53</f>
        <v>500000</v>
      </c>
      <c r="D50" s="389">
        <f>+D51+D52</f>
        <v>1650000</v>
      </c>
      <c r="E50" s="389">
        <f>+E51+E52</f>
        <v>2330041</v>
      </c>
      <c r="F50" s="389"/>
      <c r="G50" s="389">
        <f t="shared" ref="G50:L50" si="10">G51+G52+G53</f>
        <v>0</v>
      </c>
      <c r="H50" s="389">
        <f t="shared" si="10"/>
        <v>0</v>
      </c>
      <c r="I50" s="389">
        <f t="shared" si="10"/>
        <v>0</v>
      </c>
      <c r="J50" s="389">
        <f t="shared" si="10"/>
        <v>0</v>
      </c>
      <c r="K50" s="389">
        <f t="shared" si="10"/>
        <v>0</v>
      </c>
      <c r="L50" s="389">
        <f t="shared" si="10"/>
        <v>0</v>
      </c>
      <c r="M50" s="391">
        <f t="shared" ref="M50:N55" si="11">C50+G50+K50</f>
        <v>500000</v>
      </c>
      <c r="N50" s="391">
        <f t="shared" si="11"/>
        <v>1650000</v>
      </c>
      <c r="O50" s="391">
        <f t="shared" ref="O50:O55" si="12">E50+I50+L50</f>
        <v>2330041</v>
      </c>
    </row>
    <row r="51" spans="1:15" x14ac:dyDescent="0.25">
      <c r="A51" s="430" t="s">
        <v>49</v>
      </c>
      <c r="B51" s="349" t="s">
        <v>9</v>
      </c>
      <c r="C51" s="389">
        <v>500000</v>
      </c>
      <c r="D51" s="389">
        <v>1650000</v>
      </c>
      <c r="E51" s="389">
        <f>+D51+180041+500000</f>
        <v>2330041</v>
      </c>
      <c r="F51" s="389"/>
      <c r="G51" s="389">
        <v>0</v>
      </c>
      <c r="H51" s="389">
        <v>0</v>
      </c>
      <c r="I51" s="389">
        <v>0</v>
      </c>
      <c r="J51" s="389">
        <v>0</v>
      </c>
      <c r="K51" s="389">
        <v>0</v>
      </c>
      <c r="L51" s="389">
        <v>0</v>
      </c>
      <c r="M51" s="391">
        <f t="shared" si="11"/>
        <v>500000</v>
      </c>
      <c r="N51" s="391">
        <f t="shared" si="11"/>
        <v>1650000</v>
      </c>
      <c r="O51" s="391">
        <f t="shared" si="12"/>
        <v>2330041</v>
      </c>
    </row>
    <row r="52" spans="1:15" x14ac:dyDescent="0.25">
      <c r="A52" s="430" t="s">
        <v>50</v>
      </c>
      <c r="B52" s="349" t="s">
        <v>10</v>
      </c>
      <c r="C52" s="389">
        <v>0</v>
      </c>
      <c r="D52" s="389">
        <v>0</v>
      </c>
      <c r="E52" s="389">
        <v>0</v>
      </c>
      <c r="F52" s="389"/>
      <c r="G52" s="389">
        <v>0</v>
      </c>
      <c r="H52" s="389">
        <v>0</v>
      </c>
      <c r="I52" s="389">
        <v>0</v>
      </c>
      <c r="J52" s="389">
        <v>0</v>
      </c>
      <c r="K52" s="389">
        <v>0</v>
      </c>
      <c r="L52" s="389">
        <v>0</v>
      </c>
      <c r="M52" s="391">
        <f t="shared" si="11"/>
        <v>0</v>
      </c>
      <c r="N52" s="391">
        <f t="shared" si="11"/>
        <v>0</v>
      </c>
      <c r="O52" s="391">
        <f t="shared" si="12"/>
        <v>0</v>
      </c>
    </row>
    <row r="53" spans="1:15" x14ac:dyDescent="0.25">
      <c r="A53" s="430" t="s">
        <v>58</v>
      </c>
      <c r="B53" s="349" t="s">
        <v>101</v>
      </c>
      <c r="C53" s="389">
        <v>0</v>
      </c>
      <c r="D53" s="389">
        <v>0</v>
      </c>
      <c r="E53" s="389">
        <v>0</v>
      </c>
      <c r="F53" s="389"/>
      <c r="G53" s="389">
        <v>0</v>
      </c>
      <c r="H53" s="389">
        <v>0</v>
      </c>
      <c r="I53" s="389">
        <v>0</v>
      </c>
      <c r="J53" s="389">
        <v>0</v>
      </c>
      <c r="K53" s="389">
        <v>0</v>
      </c>
      <c r="L53" s="389">
        <v>0</v>
      </c>
      <c r="M53" s="391">
        <f t="shared" si="11"/>
        <v>0</v>
      </c>
      <c r="N53" s="391">
        <f t="shared" si="11"/>
        <v>0</v>
      </c>
      <c r="O53" s="391">
        <f t="shared" si="12"/>
        <v>0</v>
      </c>
    </row>
    <row r="54" spans="1:15" x14ac:dyDescent="0.25">
      <c r="A54" s="433" t="s">
        <v>13</v>
      </c>
      <c r="B54" s="351" t="s">
        <v>102</v>
      </c>
      <c r="C54" s="389">
        <f>C38+C50</f>
        <v>46306000</v>
      </c>
      <c r="D54" s="389">
        <f>D38+D50</f>
        <v>46306000</v>
      </c>
      <c r="E54" s="389">
        <f>E38+E50</f>
        <v>46486041</v>
      </c>
      <c r="F54" s="389"/>
      <c r="G54" s="389">
        <f t="shared" ref="G54:L54" si="13">G38+G50</f>
        <v>0</v>
      </c>
      <c r="H54" s="389">
        <f t="shared" si="13"/>
        <v>0</v>
      </c>
      <c r="I54" s="389">
        <f t="shared" si="13"/>
        <v>0</v>
      </c>
      <c r="J54" s="389">
        <f t="shared" si="13"/>
        <v>0</v>
      </c>
      <c r="K54" s="389">
        <f t="shared" si="13"/>
        <v>0</v>
      </c>
      <c r="L54" s="389">
        <f t="shared" si="13"/>
        <v>0</v>
      </c>
      <c r="M54" s="391">
        <f t="shared" si="11"/>
        <v>46306000</v>
      </c>
      <c r="N54" s="391">
        <f t="shared" si="11"/>
        <v>46306000</v>
      </c>
      <c r="O54" s="391">
        <f t="shared" si="12"/>
        <v>46486041</v>
      </c>
    </row>
    <row r="55" spans="1:15" x14ac:dyDescent="0.25">
      <c r="A55" s="425" t="s">
        <v>14</v>
      </c>
      <c r="B55" s="349" t="s">
        <v>358</v>
      </c>
      <c r="C55" s="389">
        <v>0</v>
      </c>
      <c r="D55" s="389">
        <v>0</v>
      </c>
      <c r="E55" s="389">
        <v>0</v>
      </c>
      <c r="F55" s="389"/>
      <c r="G55" s="389">
        <v>0</v>
      </c>
      <c r="H55" s="389">
        <v>0</v>
      </c>
      <c r="I55" s="389">
        <v>0</v>
      </c>
      <c r="J55" s="389">
        <v>0</v>
      </c>
      <c r="K55" s="389">
        <v>0</v>
      </c>
      <c r="L55" s="389">
        <v>0</v>
      </c>
      <c r="M55" s="391">
        <f t="shared" si="11"/>
        <v>0</v>
      </c>
      <c r="N55" s="391">
        <f t="shared" si="11"/>
        <v>0</v>
      </c>
      <c r="O55" s="391">
        <f t="shared" si="12"/>
        <v>0</v>
      </c>
    </row>
    <row r="56" spans="1:15" x14ac:dyDescent="0.25">
      <c r="A56" s="425" t="s">
        <v>15</v>
      </c>
      <c r="B56" s="349" t="s">
        <v>359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1"/>
      <c r="N56" s="391"/>
      <c r="O56" s="391"/>
    </row>
    <row r="57" spans="1:15" x14ac:dyDescent="0.25">
      <c r="A57" s="425" t="s">
        <v>16</v>
      </c>
      <c r="B57" s="349" t="s">
        <v>308</v>
      </c>
      <c r="C57" s="389">
        <v>0</v>
      </c>
      <c r="D57" s="389">
        <v>0</v>
      </c>
      <c r="E57" s="389">
        <v>0</v>
      </c>
      <c r="F57" s="389"/>
      <c r="G57" s="389">
        <v>0</v>
      </c>
      <c r="H57" s="389">
        <v>0</v>
      </c>
      <c r="I57" s="389">
        <v>0</v>
      </c>
      <c r="J57" s="389">
        <v>0</v>
      </c>
      <c r="K57" s="389">
        <v>0</v>
      </c>
      <c r="L57" s="389">
        <v>0</v>
      </c>
      <c r="M57" s="391">
        <f t="shared" ref="M57:N59" si="14">C57+G57+K57</f>
        <v>0</v>
      </c>
      <c r="N57" s="391">
        <f t="shared" si="14"/>
        <v>0</v>
      </c>
      <c r="O57" s="391">
        <f>E57+I57+L57</f>
        <v>0</v>
      </c>
    </row>
    <row r="58" spans="1:15" x14ac:dyDescent="0.25">
      <c r="A58" s="425" t="s">
        <v>17</v>
      </c>
      <c r="B58" s="349" t="s">
        <v>104</v>
      </c>
      <c r="C58" s="389">
        <v>0</v>
      </c>
      <c r="D58" s="389">
        <v>0</v>
      </c>
      <c r="E58" s="389">
        <v>0</v>
      </c>
      <c r="F58" s="389"/>
      <c r="G58" s="389">
        <v>0</v>
      </c>
      <c r="H58" s="389">
        <v>0</v>
      </c>
      <c r="I58" s="389">
        <v>0</v>
      </c>
      <c r="J58" s="389">
        <v>0</v>
      </c>
      <c r="K58" s="389">
        <v>0</v>
      </c>
      <c r="L58" s="389">
        <v>0</v>
      </c>
      <c r="M58" s="391">
        <f t="shared" si="14"/>
        <v>0</v>
      </c>
      <c r="N58" s="391">
        <f t="shared" si="14"/>
        <v>0</v>
      </c>
      <c r="O58" s="391">
        <f>E58+I58+L58</f>
        <v>0</v>
      </c>
    </row>
    <row r="59" spans="1:15" x14ac:dyDescent="0.25">
      <c r="A59" s="425"/>
      <c r="B59" s="349" t="s">
        <v>212</v>
      </c>
      <c r="C59" s="389">
        <v>0</v>
      </c>
      <c r="D59" s="389">
        <v>0</v>
      </c>
      <c r="E59" s="389">
        <v>0</v>
      </c>
      <c r="F59" s="389"/>
      <c r="G59" s="389">
        <v>0</v>
      </c>
      <c r="H59" s="389">
        <v>0</v>
      </c>
      <c r="I59" s="389">
        <v>0</v>
      </c>
      <c r="J59" s="389">
        <v>0</v>
      </c>
      <c r="K59" s="389">
        <v>0</v>
      </c>
      <c r="L59" s="389">
        <v>0</v>
      </c>
      <c r="M59" s="391">
        <f t="shared" si="14"/>
        <v>0</v>
      </c>
      <c r="N59" s="391">
        <f t="shared" si="14"/>
        <v>0</v>
      </c>
      <c r="O59" s="391">
        <f>E59+I59+L59</f>
        <v>0</v>
      </c>
    </row>
    <row r="60" spans="1:15" x14ac:dyDescent="0.25">
      <c r="A60" s="434"/>
      <c r="B60" s="349" t="s">
        <v>211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1"/>
      <c r="N60" s="391"/>
      <c r="O60" s="391"/>
    </row>
    <row r="61" spans="1:15" x14ac:dyDescent="0.25">
      <c r="A61" s="425" t="s">
        <v>18</v>
      </c>
      <c r="B61" s="349" t="s">
        <v>105</v>
      </c>
      <c r="C61" s="389">
        <v>0</v>
      </c>
      <c r="D61" s="389">
        <v>0</v>
      </c>
      <c r="E61" s="389">
        <v>0</v>
      </c>
      <c r="F61" s="389"/>
      <c r="G61" s="389">
        <v>0</v>
      </c>
      <c r="H61" s="389">
        <v>0</v>
      </c>
      <c r="I61" s="389">
        <v>0</v>
      </c>
      <c r="J61" s="389">
        <v>0</v>
      </c>
      <c r="K61" s="389">
        <v>0</v>
      </c>
      <c r="L61" s="389">
        <v>0</v>
      </c>
      <c r="M61" s="391">
        <f t="shared" ref="M61:N63" si="15">C61+G61+K61</f>
        <v>0</v>
      </c>
      <c r="N61" s="391">
        <f t="shared" si="15"/>
        <v>0</v>
      </c>
      <c r="O61" s="391">
        <f>E61+I61+L61</f>
        <v>0</v>
      </c>
    </row>
    <row r="62" spans="1:15" x14ac:dyDescent="0.25">
      <c r="A62" s="396" t="s">
        <v>19</v>
      </c>
      <c r="B62" s="351" t="s">
        <v>106</v>
      </c>
      <c r="C62" s="389">
        <f>C55+C57+C58+C61</f>
        <v>0</v>
      </c>
      <c r="D62" s="389">
        <f>D55+D57+D58+D61</f>
        <v>0</v>
      </c>
      <c r="E62" s="389">
        <f>E55+E57+E58+E61</f>
        <v>0</v>
      </c>
      <c r="F62" s="389"/>
      <c r="G62" s="389">
        <f t="shared" ref="G62:L62" si="16">G55+G57+G58+G61</f>
        <v>0</v>
      </c>
      <c r="H62" s="389">
        <f t="shared" si="16"/>
        <v>0</v>
      </c>
      <c r="I62" s="389">
        <f t="shared" si="16"/>
        <v>0</v>
      </c>
      <c r="J62" s="389">
        <f t="shared" si="16"/>
        <v>0</v>
      </c>
      <c r="K62" s="389">
        <f t="shared" si="16"/>
        <v>0</v>
      </c>
      <c r="L62" s="389">
        <f t="shared" si="16"/>
        <v>0</v>
      </c>
      <c r="M62" s="391">
        <f t="shared" si="15"/>
        <v>0</v>
      </c>
      <c r="N62" s="391">
        <f t="shared" si="15"/>
        <v>0</v>
      </c>
      <c r="O62" s="391">
        <f>E62+I62+L62</f>
        <v>0</v>
      </c>
    </row>
    <row r="63" spans="1:15" ht="21" x14ac:dyDescent="0.25">
      <c r="A63" s="613" t="s">
        <v>20</v>
      </c>
      <c r="B63" s="614" t="s">
        <v>107</v>
      </c>
      <c r="C63" s="389">
        <f>C54+C62</f>
        <v>46306000</v>
      </c>
      <c r="D63" s="389">
        <f>D54+D62</f>
        <v>46306000</v>
      </c>
      <c r="E63" s="389">
        <f>E54+E62</f>
        <v>46486041</v>
      </c>
      <c r="F63" s="389"/>
      <c r="G63" s="389">
        <f t="shared" ref="G63:L63" si="17">G54+G62</f>
        <v>0</v>
      </c>
      <c r="H63" s="389">
        <f t="shared" si="17"/>
        <v>0</v>
      </c>
      <c r="I63" s="389">
        <f t="shared" si="17"/>
        <v>0</v>
      </c>
      <c r="J63" s="389">
        <f t="shared" si="17"/>
        <v>0</v>
      </c>
      <c r="K63" s="389">
        <f t="shared" si="17"/>
        <v>0</v>
      </c>
      <c r="L63" s="389">
        <f t="shared" si="17"/>
        <v>0</v>
      </c>
      <c r="M63" s="391">
        <f t="shared" si="15"/>
        <v>46306000</v>
      </c>
      <c r="N63" s="391">
        <f t="shared" si="15"/>
        <v>46306000</v>
      </c>
      <c r="O63" s="391">
        <f>E63+I63+L63</f>
        <v>46486041</v>
      </c>
    </row>
    <row r="64" spans="1:15" x14ac:dyDescent="0.25">
      <c r="A64" s="436"/>
      <c r="B64" s="436"/>
      <c r="C64" s="436">
        <f t="shared" ref="C64:O64" si="18">+C63-C34</f>
        <v>0</v>
      </c>
      <c r="D64" s="436">
        <f t="shared" si="18"/>
        <v>0</v>
      </c>
      <c r="E64" s="436">
        <f t="shared" si="18"/>
        <v>0</v>
      </c>
      <c r="F64" s="436">
        <f t="shared" si="18"/>
        <v>0</v>
      </c>
      <c r="G64" s="436">
        <f t="shared" si="18"/>
        <v>0</v>
      </c>
      <c r="H64" s="436">
        <f t="shared" si="18"/>
        <v>0</v>
      </c>
      <c r="I64" s="436">
        <f t="shared" si="18"/>
        <v>0</v>
      </c>
      <c r="J64" s="436">
        <f t="shared" si="18"/>
        <v>0</v>
      </c>
      <c r="K64" s="436">
        <f t="shared" si="18"/>
        <v>0</v>
      </c>
      <c r="L64" s="436">
        <f t="shared" si="18"/>
        <v>0</v>
      </c>
      <c r="M64" s="436">
        <f t="shared" si="18"/>
        <v>0</v>
      </c>
      <c r="N64" s="436">
        <f t="shared" si="18"/>
        <v>0</v>
      </c>
      <c r="O64" s="436">
        <f t="shared" si="18"/>
        <v>0</v>
      </c>
    </row>
    <row r="65" spans="1:15" x14ac:dyDescent="0.25">
      <c r="A65" s="435"/>
      <c r="B65" s="440"/>
      <c r="C65" s="394"/>
      <c r="D65" s="394"/>
      <c r="E65" s="394">
        <f>+E63-E34</f>
        <v>0</v>
      </c>
      <c r="F65" s="394"/>
      <c r="G65" s="394"/>
      <c r="H65" s="394"/>
      <c r="I65" s="394"/>
      <c r="J65" s="394"/>
      <c r="K65" s="394"/>
      <c r="L65" s="394"/>
      <c r="M65" s="438"/>
      <c r="N65" s="438"/>
      <c r="O65" s="438"/>
    </row>
    <row r="66" spans="1:15" x14ac:dyDescent="0.25">
      <c r="A66" s="442"/>
      <c r="B66" s="44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438"/>
      <c r="N66" s="438"/>
      <c r="O66" s="438"/>
    </row>
    <row r="67" spans="1:15" x14ac:dyDescent="0.25">
      <c r="A67" s="443"/>
      <c r="B67" s="445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x14ac:dyDescent="0.25">
      <c r="A68" s="443"/>
      <c r="B68" s="448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x14ac:dyDescent="0.25">
      <c r="A69" s="443"/>
      <c r="B69" s="383"/>
    </row>
    <row r="70" spans="1:15" x14ac:dyDescent="0.25">
      <c r="A70" s="449"/>
      <c r="B70" s="440"/>
    </row>
    <row r="71" spans="1:15" x14ac:dyDescent="0.25">
      <c r="A71" s="449"/>
      <c r="B71" s="452"/>
    </row>
    <row r="72" spans="1:15" x14ac:dyDescent="0.25">
      <c r="A72" s="449"/>
      <c r="B72" s="452"/>
    </row>
    <row r="73" spans="1:15" x14ac:dyDescent="0.25">
      <c r="A73" s="449"/>
      <c r="B73" s="453"/>
    </row>
    <row r="74" spans="1:15" x14ac:dyDescent="0.25">
      <c r="A74" s="443"/>
      <c r="B74" s="457"/>
    </row>
    <row r="75" spans="1:15" x14ac:dyDescent="0.25">
      <c r="B75" s="452"/>
    </row>
    <row r="76" spans="1:15" x14ac:dyDescent="0.25">
      <c r="B76" s="452"/>
    </row>
    <row r="77" spans="1:15" x14ac:dyDescent="0.25">
      <c r="B77" s="452"/>
    </row>
    <row r="78" spans="1:15" x14ac:dyDescent="0.25">
      <c r="B78" s="452"/>
    </row>
    <row r="79" spans="1:15" x14ac:dyDescent="0.25">
      <c r="B79" s="452"/>
    </row>
    <row r="80" spans="1:15" x14ac:dyDescent="0.25">
      <c r="B80" s="453"/>
    </row>
    <row r="81" spans="2:2" x14ac:dyDescent="0.25">
      <c r="B81" s="452"/>
    </row>
    <row r="82" spans="2:2" x14ac:dyDescent="0.25">
      <c r="B82" s="452"/>
    </row>
    <row r="83" spans="2:2" x14ac:dyDescent="0.25">
      <c r="B83" s="452"/>
    </row>
    <row r="84" spans="2:2" x14ac:dyDescent="0.25">
      <c r="B84" s="453"/>
    </row>
    <row r="85" spans="2:2" x14ac:dyDescent="0.25">
      <c r="B85" s="440"/>
    </row>
    <row r="86" spans="2:2" x14ac:dyDescent="0.25">
      <c r="B86" s="440"/>
    </row>
    <row r="87" spans="2:2" x14ac:dyDescent="0.25">
      <c r="B87" s="440"/>
    </row>
    <row r="88" spans="2:2" x14ac:dyDescent="0.25">
      <c r="B88" s="397"/>
    </row>
    <row r="91" spans="2:2" x14ac:dyDescent="0.25">
      <c r="B91" s="459"/>
    </row>
    <row r="92" spans="2:2" x14ac:dyDescent="0.25">
      <c r="B92" s="360"/>
    </row>
    <row r="93" spans="2:2" x14ac:dyDescent="0.25">
      <c r="B93" s="453"/>
    </row>
    <row r="94" spans="2:2" x14ac:dyDescent="0.25">
      <c r="B94" s="452"/>
    </row>
    <row r="95" spans="2:2" x14ac:dyDescent="0.25">
      <c r="B95" s="452"/>
    </row>
    <row r="96" spans="2:2" x14ac:dyDescent="0.25">
      <c r="B96" s="452"/>
    </row>
    <row r="97" spans="2:2" x14ac:dyDescent="0.25">
      <c r="B97" s="452"/>
    </row>
    <row r="98" spans="2:2" x14ac:dyDescent="0.25">
      <c r="B98" s="452"/>
    </row>
    <row r="99" spans="2:2" x14ac:dyDescent="0.25">
      <c r="B99" s="452"/>
    </row>
    <row r="100" spans="2:2" x14ac:dyDescent="0.25">
      <c r="B100" s="452"/>
    </row>
    <row r="101" spans="2:2" x14ac:dyDescent="0.25">
      <c r="B101" s="453"/>
    </row>
    <row r="102" spans="2:2" x14ac:dyDescent="0.25">
      <c r="B102" s="457"/>
    </row>
    <row r="103" spans="2:2" x14ac:dyDescent="0.25">
      <c r="B103" s="452"/>
    </row>
    <row r="104" spans="2:2" x14ac:dyDescent="0.25">
      <c r="B104" s="452"/>
    </row>
    <row r="105" spans="2:2" x14ac:dyDescent="0.25">
      <c r="B105" s="452"/>
    </row>
    <row r="106" spans="2:2" x14ac:dyDescent="0.25">
      <c r="B106" s="452"/>
    </row>
    <row r="107" spans="2:2" x14ac:dyDescent="0.25">
      <c r="B107" s="452"/>
    </row>
    <row r="108" spans="2:2" x14ac:dyDescent="0.25">
      <c r="B108" s="453"/>
    </row>
    <row r="109" spans="2:2" x14ac:dyDescent="0.25">
      <c r="B109" s="452"/>
    </row>
    <row r="110" spans="2:2" x14ac:dyDescent="0.25">
      <c r="B110" s="452"/>
    </row>
    <row r="111" spans="2:2" x14ac:dyDescent="0.25">
      <c r="B111" s="452"/>
    </row>
    <row r="112" spans="2:2" x14ac:dyDescent="0.25">
      <c r="B112" s="453"/>
    </row>
    <row r="113" spans="2:2" x14ac:dyDescent="0.25">
      <c r="B113" s="440"/>
    </row>
    <row r="116" spans="2:2" x14ac:dyDescent="0.25">
      <c r="B116" s="459"/>
    </row>
    <row r="117" spans="2:2" x14ac:dyDescent="0.25">
      <c r="B117" s="360"/>
    </row>
    <row r="118" spans="2:2" x14ac:dyDescent="0.25">
      <c r="B118" s="453"/>
    </row>
    <row r="119" spans="2:2" x14ac:dyDescent="0.25">
      <c r="B119" s="452"/>
    </row>
    <row r="120" spans="2:2" x14ac:dyDescent="0.25">
      <c r="B120" s="452"/>
    </row>
    <row r="121" spans="2:2" x14ac:dyDescent="0.25">
      <c r="B121" s="452"/>
    </row>
    <row r="122" spans="2:2" x14ac:dyDescent="0.25">
      <c r="B122" s="452"/>
    </row>
    <row r="123" spans="2:2" x14ac:dyDescent="0.25">
      <c r="B123" s="452"/>
    </row>
    <row r="124" spans="2:2" x14ac:dyDescent="0.25">
      <c r="B124" s="452"/>
    </row>
    <row r="125" spans="2:2" x14ac:dyDescent="0.25">
      <c r="B125" s="452"/>
    </row>
    <row r="126" spans="2:2" x14ac:dyDescent="0.25">
      <c r="B126" s="453"/>
    </row>
    <row r="127" spans="2:2" x14ac:dyDescent="0.25">
      <c r="B127" s="457"/>
    </row>
    <row r="128" spans="2:2" x14ac:dyDescent="0.25">
      <c r="B128" s="452"/>
    </row>
    <row r="129" spans="2:2" x14ac:dyDescent="0.25">
      <c r="B129" s="452"/>
    </row>
    <row r="130" spans="2:2" x14ac:dyDescent="0.25">
      <c r="B130" s="452"/>
    </row>
    <row r="131" spans="2:2" x14ac:dyDescent="0.25">
      <c r="B131" s="452"/>
    </row>
    <row r="132" spans="2:2" x14ac:dyDescent="0.25">
      <c r="B132" s="452"/>
    </row>
    <row r="133" spans="2:2" x14ac:dyDescent="0.25">
      <c r="B133" s="453"/>
    </row>
    <row r="134" spans="2:2" x14ac:dyDescent="0.25">
      <c r="B134" s="452"/>
    </row>
    <row r="135" spans="2:2" x14ac:dyDescent="0.25">
      <c r="B135" s="452"/>
    </row>
    <row r="136" spans="2:2" x14ac:dyDescent="0.25">
      <c r="B136" s="452"/>
    </row>
    <row r="137" spans="2:2" x14ac:dyDescent="0.25">
      <c r="B137" s="453"/>
    </row>
    <row r="138" spans="2:2" x14ac:dyDescent="0.25">
      <c r="B138" s="440"/>
    </row>
    <row r="139" spans="2:2" x14ac:dyDescent="0.25">
      <c r="B139" s="397"/>
    </row>
    <row r="140" spans="2:2" x14ac:dyDescent="0.25">
      <c r="B140" s="397"/>
    </row>
    <row r="141" spans="2:2" x14ac:dyDescent="0.25">
      <c r="B141" s="397"/>
    </row>
    <row r="144" spans="2:2" x14ac:dyDescent="0.25">
      <c r="B144" s="459"/>
    </row>
    <row r="145" spans="2:2" x14ac:dyDescent="0.25">
      <c r="B145" s="360"/>
    </row>
    <row r="146" spans="2:2" x14ac:dyDescent="0.25">
      <c r="B146" s="453"/>
    </row>
    <row r="147" spans="2:2" x14ac:dyDescent="0.25">
      <c r="B147" s="452"/>
    </row>
    <row r="148" spans="2:2" x14ac:dyDescent="0.25">
      <c r="B148" s="452"/>
    </row>
    <row r="149" spans="2:2" x14ac:dyDescent="0.25">
      <c r="B149" s="452"/>
    </row>
    <row r="150" spans="2:2" x14ac:dyDescent="0.25">
      <c r="B150" s="452"/>
    </row>
    <row r="151" spans="2:2" x14ac:dyDescent="0.25">
      <c r="B151" s="452"/>
    </row>
    <row r="152" spans="2:2" x14ac:dyDescent="0.25">
      <c r="B152" s="452"/>
    </row>
    <row r="153" spans="2:2" x14ac:dyDescent="0.25">
      <c r="B153" s="452"/>
    </row>
    <row r="154" spans="2:2" x14ac:dyDescent="0.25">
      <c r="B154" s="453"/>
    </row>
    <row r="155" spans="2:2" x14ac:dyDescent="0.25">
      <c r="B155" s="457"/>
    </row>
    <row r="156" spans="2:2" x14ac:dyDescent="0.25">
      <c r="B156" s="452"/>
    </row>
    <row r="157" spans="2:2" x14ac:dyDescent="0.25">
      <c r="B157" s="452"/>
    </row>
    <row r="158" spans="2:2" x14ac:dyDescent="0.25">
      <c r="B158" s="452"/>
    </row>
    <row r="159" spans="2:2" x14ac:dyDescent="0.25">
      <c r="B159" s="452"/>
    </row>
    <row r="160" spans="2:2" x14ac:dyDescent="0.25">
      <c r="B160" s="452"/>
    </row>
    <row r="161" spans="2:2" x14ac:dyDescent="0.25">
      <c r="B161" s="453"/>
    </row>
    <row r="162" spans="2:2" x14ac:dyDescent="0.25">
      <c r="B162" s="452"/>
    </row>
    <row r="163" spans="2:2" x14ac:dyDescent="0.25">
      <c r="B163" s="452"/>
    </row>
    <row r="164" spans="2:2" x14ac:dyDescent="0.25">
      <c r="B164" s="452"/>
    </row>
    <row r="165" spans="2:2" x14ac:dyDescent="0.25">
      <c r="B165" s="453"/>
    </row>
    <row r="166" spans="2:2" x14ac:dyDescent="0.25">
      <c r="B166" s="440"/>
    </row>
    <row r="169" spans="2:2" x14ac:dyDescent="0.25">
      <c r="B169" s="459"/>
    </row>
    <row r="170" spans="2:2" x14ac:dyDescent="0.25">
      <c r="B170" s="360"/>
    </row>
    <row r="171" spans="2:2" x14ac:dyDescent="0.25">
      <c r="B171" s="453"/>
    </row>
    <row r="172" spans="2:2" x14ac:dyDescent="0.25">
      <c r="B172" s="452"/>
    </row>
    <row r="173" spans="2:2" x14ac:dyDescent="0.25">
      <c r="B173" s="452"/>
    </row>
    <row r="174" spans="2:2" x14ac:dyDescent="0.25">
      <c r="B174" s="452"/>
    </row>
    <row r="175" spans="2:2" x14ac:dyDescent="0.25">
      <c r="B175" s="452"/>
    </row>
    <row r="176" spans="2:2" x14ac:dyDescent="0.25">
      <c r="B176" s="452"/>
    </row>
    <row r="177" spans="2:2" x14ac:dyDescent="0.25">
      <c r="B177" s="452"/>
    </row>
    <row r="178" spans="2:2" x14ac:dyDescent="0.25">
      <c r="B178" s="452"/>
    </row>
    <row r="179" spans="2:2" x14ac:dyDescent="0.25">
      <c r="B179" s="453"/>
    </row>
    <row r="180" spans="2:2" x14ac:dyDescent="0.25">
      <c r="B180" s="457"/>
    </row>
    <row r="181" spans="2:2" x14ac:dyDescent="0.25">
      <c r="B181" s="452"/>
    </row>
    <row r="182" spans="2:2" x14ac:dyDescent="0.25">
      <c r="B182" s="452"/>
    </row>
    <row r="183" spans="2:2" x14ac:dyDescent="0.25">
      <c r="B183" s="452"/>
    </row>
    <row r="184" spans="2:2" x14ac:dyDescent="0.25">
      <c r="B184" s="452"/>
    </row>
    <row r="185" spans="2:2" x14ac:dyDescent="0.25">
      <c r="B185" s="452"/>
    </row>
    <row r="186" spans="2:2" x14ac:dyDescent="0.25">
      <c r="B186" s="453"/>
    </row>
    <row r="187" spans="2:2" x14ac:dyDescent="0.25">
      <c r="B187" s="452"/>
    </row>
    <row r="188" spans="2:2" x14ac:dyDescent="0.25">
      <c r="B188" s="452"/>
    </row>
    <row r="189" spans="2:2" x14ac:dyDescent="0.25">
      <c r="B189" s="452"/>
    </row>
    <row r="190" spans="2:2" x14ac:dyDescent="0.25">
      <c r="B190" s="453"/>
    </row>
    <row r="191" spans="2:2" x14ac:dyDescent="0.25">
      <c r="B191" s="440"/>
    </row>
    <row r="192" spans="2:2" x14ac:dyDescent="0.25">
      <c r="B192" s="397"/>
    </row>
    <row r="193" spans="2:2" x14ac:dyDescent="0.25">
      <c r="B193" s="397"/>
    </row>
  </sheetData>
  <mergeCells count="3">
    <mergeCell ref="K36:M36"/>
    <mergeCell ref="A2:O2"/>
    <mergeCell ref="L1:O1"/>
  </mergeCells>
  <printOptions horizontalCentered="1"/>
  <pageMargins left="0.25" right="0.17" top="0.42" bottom="0.34" header="0.31496062992125984" footer="0.2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16</vt:i4>
      </vt:variant>
    </vt:vector>
  </HeadingPairs>
  <TitlesOfParts>
    <vt:vector size="45" baseType="lpstr">
      <vt:lpstr>2020. 1.bevkiadfőössz. </vt:lpstr>
      <vt:lpstr>2. önkorm.bevkiad</vt:lpstr>
      <vt:lpstr>3. INT összes</vt:lpstr>
      <vt:lpstr>4. PMH</vt:lpstr>
      <vt:lpstr>5. BBölcs</vt:lpstr>
      <vt:lpstr>6.MosolyvárBölcs</vt:lpstr>
      <vt:lpstr>7. Pitypang</vt:lpstr>
      <vt:lpstr>8.Szivárvány</vt:lpstr>
      <vt:lpstr>9. EFMK</vt:lpstr>
      <vt:lpstr>10. NGVK</vt:lpstr>
      <vt:lpstr>11. BEK</vt:lpstr>
      <vt:lpstr>12. tartalékok</vt:lpstr>
      <vt:lpstr>13. szociális ellátások</vt:lpstr>
      <vt:lpstr>14. ÁHT belüli PE átadások</vt:lpstr>
      <vt:lpstr>15. ÁHT kívüli PE átadások</vt:lpstr>
      <vt:lpstr>16. hitelek</vt:lpstr>
      <vt:lpstr>17.eng.létszámkeret</vt:lpstr>
      <vt:lpstr>18. közvetett támogatások</vt:lpstr>
      <vt:lpstr>19.-20.mérleg</vt:lpstr>
      <vt:lpstr>21. többéves kötváll</vt:lpstr>
      <vt:lpstr>22.bev ütemterv</vt:lpstr>
      <vt:lpstr>23.kiadási ütemterv</vt:lpstr>
      <vt:lpstr>24. beruházások</vt:lpstr>
      <vt:lpstr>nem mell</vt:lpstr>
      <vt:lpstr>nem mell - Likvid terv</vt:lpstr>
      <vt:lpstr>nem mell - 24. COFOG</vt:lpstr>
      <vt:lpstr>nem mell 18.EUS pályázat</vt:lpstr>
      <vt:lpstr>Munka15</vt:lpstr>
      <vt:lpstr>Munka1</vt:lpstr>
      <vt:lpstr>'12. tartalékok'!Nyomtatási_terület</vt:lpstr>
      <vt:lpstr>'13. szociális ellátások'!Nyomtatási_terület</vt:lpstr>
      <vt:lpstr>'14. ÁHT belüli PE átadások'!Nyomtatási_terület</vt:lpstr>
      <vt:lpstr>'16. hitelek'!Nyomtatási_terület</vt:lpstr>
      <vt:lpstr>'19.-20.mérleg'!Nyomtatási_terület</vt:lpstr>
      <vt:lpstr>'2. önkorm.bevkiad'!Nyomtatási_terület</vt:lpstr>
      <vt:lpstr>'2020. 1.bevkiadfőössz. '!Nyomtatási_terület</vt:lpstr>
      <vt:lpstr>'21. többéves kötváll'!Nyomtatási_terület</vt:lpstr>
      <vt:lpstr>'22.bev ütemterv'!Nyomtatási_terület</vt:lpstr>
      <vt:lpstr>'23.kiadási ütemterv'!Nyomtatási_terület</vt:lpstr>
      <vt:lpstr>'24. beruházások'!Nyomtatási_terület</vt:lpstr>
      <vt:lpstr>'3. INT összes'!Nyomtatási_terület</vt:lpstr>
      <vt:lpstr>'4. PMH'!Nyomtatási_terület</vt:lpstr>
      <vt:lpstr>'5. BBölcs'!Nyomtatási_terület</vt:lpstr>
      <vt:lpstr>'nem mell - 24. COFOG'!Nyomtatási_terület</vt:lpstr>
      <vt:lpstr>'nem mell 18.EUS pályázat'!Nyomtatási_terület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Krizsán Mónika</cp:lastModifiedBy>
  <cp:lastPrinted>2021-06-09T19:14:53Z</cp:lastPrinted>
  <dcterms:created xsi:type="dcterms:W3CDTF">2012-02-02T18:37:10Z</dcterms:created>
  <dcterms:modified xsi:type="dcterms:W3CDTF">2021-06-10T07:13:04Z</dcterms:modified>
</cp:coreProperties>
</file>