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rendeletek\2021\"/>
    </mc:Choice>
  </mc:AlternateContent>
  <xr:revisionPtr revIDLastSave="0" documentId="8_{9303EF6B-9BD6-431B-9EBC-E7AA40CC32AE}" xr6:coauthVersionLast="45" xr6:coauthVersionMax="45" xr10:uidLastSave="{00000000-0000-0000-0000-000000000000}"/>
  <bookViews>
    <workbookView xWindow="-120" yWindow="-120" windowWidth="29040" windowHeight="15840" tabRatio="918" firstSheet="2" activeTab="11" xr2:uid="{00000000-000D-0000-FFFF-FFFF00000000}"/>
  </bookViews>
  <sheets>
    <sheet name="2020. 1.bevkiadfőössz. " sheetId="19" r:id="rId1"/>
    <sheet name="2. önkorm.bevkiad" sheetId="33" r:id="rId2"/>
    <sheet name="3-10 önálló int.be-ki." sheetId="7" r:id="rId3"/>
    <sheet name="11-12.tartalék.köt.köt.részl." sheetId="11" r:id="rId4"/>
    <sheet name="13. többéves kötváll" sheetId="40" r:id="rId5"/>
    <sheet name="14-16.pe.átad.közv.tám.szoc. j" sheetId="13" r:id="rId6"/>
    <sheet name="17.eng.létszámkeret" sheetId="14" r:id="rId7"/>
    <sheet name="18.EUS pályázat" sheetId="15" r:id="rId8"/>
    <sheet name="19.-20.mérleg" sheetId="17" r:id="rId9"/>
    <sheet name="21.bev ütemterv" sheetId="34" r:id="rId10"/>
    <sheet name="22.kiadási ütemterv" sheetId="35" r:id="rId11"/>
    <sheet name="23. beruházások" sheetId="38" r:id="rId12"/>
    <sheet name="Munka1" sheetId="41" r:id="rId13"/>
    <sheet name="24. COFOG" sheetId="39" r:id="rId14"/>
    <sheet name="25. többéves kihatás" sheetId="42" r:id="rId15"/>
  </sheets>
  <definedNames>
    <definedName name="_xlnm.Print_Area" localSheetId="3">'11-12.tartalék.köt.köt.részl.'!$A$1:$O$31</definedName>
    <definedName name="_xlnm.Print_Area" localSheetId="4">'13. többéves kötváll'!$A$1:$L$35</definedName>
    <definedName name="_xlnm.Print_Area" localSheetId="5">'14-16.pe.átad.közv.tám.szoc. j'!$A$1:$V$45</definedName>
    <definedName name="_xlnm.Print_Area" localSheetId="7">'18.EUS pályázat'!$A$1:$E$16</definedName>
    <definedName name="_xlnm.Print_Area" localSheetId="8">'19.-20.mérleg'!$A$1:$AH$27</definedName>
    <definedName name="_xlnm.Print_Area" localSheetId="1">'2. önkorm.bevkiad'!$A$1:$P$69</definedName>
    <definedName name="_xlnm.Print_Area" localSheetId="0">'2020. 1.bevkiadfőössz. '!$A$1:$P$69</definedName>
    <definedName name="_xlnm.Print_Area" localSheetId="9">'21.bev ütemterv'!$A$1:$P$39</definedName>
    <definedName name="_xlnm.Print_Area" localSheetId="10">'22.kiadási ütemterv'!$A$1:$O$26</definedName>
    <definedName name="_xlnm.Print_Area" localSheetId="11">'23. beruházások'!$A$1:$I$40</definedName>
    <definedName name="_xlnm.Print_Area" localSheetId="13">'24. COFOG'!$A$1:$AD$47</definedName>
    <definedName name="_xlnm.Print_Area" localSheetId="2">'3-10 önálló int.be-ki.'!$A$1:$DX$63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38" l="1"/>
  <c r="T12" i="13" l="1"/>
  <c r="T8" i="13"/>
  <c r="S8" i="13"/>
  <c r="J32" i="13"/>
  <c r="I36" i="13"/>
  <c r="J36" i="13"/>
  <c r="D37" i="13"/>
  <c r="J16" i="13"/>
  <c r="I16" i="13"/>
  <c r="F17" i="13"/>
  <c r="F18" i="13" s="1"/>
  <c r="P49" i="33"/>
  <c r="F47" i="33"/>
  <c r="P47" i="33" s="1"/>
  <c r="J48" i="33"/>
  <c r="F21" i="33"/>
  <c r="P21" i="33" s="1"/>
  <c r="F15" i="33"/>
  <c r="P15" i="33" s="1"/>
  <c r="P18" i="33"/>
  <c r="O11" i="33"/>
  <c r="P8" i="33"/>
  <c r="P7" i="33"/>
  <c r="M9" i="33"/>
  <c r="N9" i="33"/>
  <c r="O9" i="33"/>
  <c r="M8" i="33"/>
  <c r="F6" i="33"/>
  <c r="P61" i="7"/>
  <c r="P60" i="7"/>
  <c r="P59" i="7"/>
  <c r="P58" i="7"/>
  <c r="P57" i="7"/>
  <c r="P56" i="7"/>
  <c r="P55" i="7"/>
  <c r="P53" i="7"/>
  <c r="P52" i="7"/>
  <c r="P51" i="7"/>
  <c r="P49" i="7"/>
  <c r="P47" i="7"/>
  <c r="P46" i="7"/>
  <c r="P45" i="7"/>
  <c r="P44" i="7"/>
  <c r="P42" i="7"/>
  <c r="P41" i="7"/>
  <c r="P40" i="7"/>
  <c r="P39" i="7"/>
  <c r="P32" i="7"/>
  <c r="P31" i="7"/>
  <c r="P30" i="7"/>
  <c r="P28" i="7"/>
  <c r="P27" i="7"/>
  <c r="P26" i="7"/>
  <c r="P25" i="7"/>
  <c r="P24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P5" i="7"/>
  <c r="AF29" i="7"/>
  <c r="CB29" i="7"/>
  <c r="DX29" i="7"/>
  <c r="L65" i="33"/>
  <c r="K65" i="33"/>
  <c r="I65" i="33"/>
  <c r="H65" i="33"/>
  <c r="D65" i="33"/>
  <c r="J61" i="33"/>
  <c r="J65" i="33" s="1"/>
  <c r="I61" i="33"/>
  <c r="H61" i="33"/>
  <c r="G61" i="33"/>
  <c r="G65" i="33" s="1"/>
  <c r="F61" i="33"/>
  <c r="D61" i="33"/>
  <c r="C65" i="33"/>
  <c r="C61" i="33"/>
  <c r="C61" i="19" s="1"/>
  <c r="P22" i="33"/>
  <c r="F62" i="19"/>
  <c r="F67" i="19" s="1"/>
  <c r="EJ61" i="7"/>
  <c r="EI61" i="7"/>
  <c r="EH61" i="7"/>
  <c r="EG61" i="7"/>
  <c r="EF61" i="7"/>
  <c r="EE61" i="7"/>
  <c r="ED61" i="7"/>
  <c r="EC61" i="7"/>
  <c r="EB61" i="7"/>
  <c r="EA61" i="7"/>
  <c r="EM60" i="7"/>
  <c r="EL60" i="7"/>
  <c r="EK60" i="7"/>
  <c r="EJ60" i="7"/>
  <c r="EI60" i="7"/>
  <c r="EH60" i="7"/>
  <c r="EG60" i="7"/>
  <c r="EF60" i="7"/>
  <c r="EE60" i="7"/>
  <c r="ED60" i="7"/>
  <c r="EC60" i="7"/>
  <c r="EB60" i="7"/>
  <c r="EA60" i="7"/>
  <c r="EN59" i="7"/>
  <c r="EJ59" i="7"/>
  <c r="EI59" i="7"/>
  <c r="EH59" i="7"/>
  <c r="EG59" i="7"/>
  <c r="EF59" i="7"/>
  <c r="EE59" i="7"/>
  <c r="ED59" i="7"/>
  <c r="EC59" i="7"/>
  <c r="EB59" i="7"/>
  <c r="EA59" i="7"/>
  <c r="EJ58" i="7"/>
  <c r="EI58" i="7"/>
  <c r="EH58" i="7"/>
  <c r="EG58" i="7"/>
  <c r="EF58" i="7"/>
  <c r="EE58" i="7"/>
  <c r="ED58" i="7"/>
  <c r="EC58" i="7"/>
  <c r="EB58" i="7"/>
  <c r="EA58" i="7"/>
  <c r="EJ57" i="7"/>
  <c r="EI57" i="7"/>
  <c r="EH57" i="7"/>
  <c r="EG57" i="7"/>
  <c r="EF57" i="7"/>
  <c r="EE57" i="7"/>
  <c r="ED57" i="7"/>
  <c r="EC57" i="7"/>
  <c r="EB57" i="7"/>
  <c r="EA57" i="7"/>
  <c r="EM56" i="7"/>
  <c r="EL56" i="7"/>
  <c r="EK56" i="7"/>
  <c r="EJ56" i="7"/>
  <c r="EI56" i="7"/>
  <c r="EH56" i="7"/>
  <c r="EG56" i="7"/>
  <c r="EF56" i="7"/>
  <c r="EE56" i="7"/>
  <c r="ED56" i="7"/>
  <c r="EC56" i="7"/>
  <c r="EB56" i="7"/>
  <c r="EA56" i="7"/>
  <c r="EJ55" i="7"/>
  <c r="EI55" i="7"/>
  <c r="EH55" i="7"/>
  <c r="EG55" i="7"/>
  <c r="EF55" i="7"/>
  <c r="EE55" i="7"/>
  <c r="ED55" i="7"/>
  <c r="EC55" i="7"/>
  <c r="EB55" i="7"/>
  <c r="EA55" i="7"/>
  <c r="EJ53" i="7"/>
  <c r="EI53" i="7"/>
  <c r="EH53" i="7"/>
  <c r="EG53" i="7"/>
  <c r="EF53" i="7"/>
  <c r="EE53" i="7"/>
  <c r="ED53" i="7"/>
  <c r="EC53" i="7"/>
  <c r="EB53" i="7"/>
  <c r="EA53" i="7"/>
  <c r="EJ52" i="7"/>
  <c r="EI52" i="7"/>
  <c r="EH52" i="7"/>
  <c r="EG52" i="7"/>
  <c r="EF52" i="7"/>
  <c r="EE52" i="7"/>
  <c r="ED52" i="7"/>
  <c r="EC52" i="7"/>
  <c r="EB52" i="7"/>
  <c r="EA52" i="7"/>
  <c r="EJ51" i="7"/>
  <c r="EI51" i="7"/>
  <c r="EH51" i="7"/>
  <c r="EG51" i="7"/>
  <c r="EF51" i="7"/>
  <c r="EE51" i="7"/>
  <c r="EC51" i="7"/>
  <c r="EB51" i="7"/>
  <c r="EA51" i="7"/>
  <c r="EM49" i="7"/>
  <c r="EL49" i="7"/>
  <c r="EK49" i="7"/>
  <c r="EJ49" i="7"/>
  <c r="EI49" i="7"/>
  <c r="EH49" i="7"/>
  <c r="EG49" i="7"/>
  <c r="EF49" i="7"/>
  <c r="EE49" i="7"/>
  <c r="ED49" i="7"/>
  <c r="EC49" i="7"/>
  <c r="EB49" i="7"/>
  <c r="EA49" i="7"/>
  <c r="EJ48" i="7"/>
  <c r="EI48" i="7"/>
  <c r="EH48" i="7"/>
  <c r="EG48" i="7"/>
  <c r="EF48" i="7"/>
  <c r="EE48" i="7"/>
  <c r="EC48" i="7"/>
  <c r="EB48" i="7"/>
  <c r="EA48" i="7"/>
  <c r="EM47" i="7"/>
  <c r="EL47" i="7"/>
  <c r="EK47" i="7"/>
  <c r="EJ47" i="7"/>
  <c r="EI47" i="7"/>
  <c r="EH47" i="7"/>
  <c r="EG47" i="7"/>
  <c r="EF47" i="7"/>
  <c r="EE47" i="7"/>
  <c r="ED47" i="7"/>
  <c r="EC47" i="7"/>
  <c r="EB47" i="7"/>
  <c r="EA47" i="7"/>
  <c r="EM46" i="7"/>
  <c r="EL46" i="7"/>
  <c r="EK46" i="7"/>
  <c r="EJ46" i="7"/>
  <c r="EI46" i="7"/>
  <c r="EH46" i="7"/>
  <c r="EG46" i="7"/>
  <c r="EF46" i="7"/>
  <c r="EE46" i="7"/>
  <c r="ED46" i="7"/>
  <c r="EC46" i="7"/>
  <c r="EB46" i="7"/>
  <c r="EA46" i="7"/>
  <c r="EM45" i="7"/>
  <c r="EL45" i="7"/>
  <c r="EK45" i="7"/>
  <c r="EJ45" i="7"/>
  <c r="EI45" i="7"/>
  <c r="EH45" i="7"/>
  <c r="EG45" i="7"/>
  <c r="EF45" i="7"/>
  <c r="EE45" i="7"/>
  <c r="ED45" i="7"/>
  <c r="EC45" i="7"/>
  <c r="EB45" i="7"/>
  <c r="EA45" i="7"/>
  <c r="EM44" i="7"/>
  <c r="EL44" i="7"/>
  <c r="EK44" i="7"/>
  <c r="EJ44" i="7"/>
  <c r="EI44" i="7"/>
  <c r="EH44" i="7"/>
  <c r="EG44" i="7"/>
  <c r="EF44" i="7"/>
  <c r="EE44" i="7"/>
  <c r="ED44" i="7"/>
  <c r="EC44" i="7"/>
  <c r="EB44" i="7"/>
  <c r="EA44" i="7"/>
  <c r="EJ43" i="7"/>
  <c r="EI43" i="7"/>
  <c r="EH43" i="7"/>
  <c r="EG43" i="7"/>
  <c r="EF43" i="7"/>
  <c r="EE43" i="7"/>
  <c r="EC43" i="7"/>
  <c r="EB43" i="7"/>
  <c r="EA43" i="7"/>
  <c r="EJ42" i="7"/>
  <c r="EI42" i="7"/>
  <c r="EH42" i="7"/>
  <c r="EG42" i="7"/>
  <c r="EF42" i="7"/>
  <c r="EE42" i="7"/>
  <c r="ED42" i="7"/>
  <c r="EC42" i="7"/>
  <c r="EB42" i="7"/>
  <c r="EA42" i="7"/>
  <c r="EN41" i="7"/>
  <c r="EJ41" i="7"/>
  <c r="EI41" i="7"/>
  <c r="EH41" i="7"/>
  <c r="EG41" i="7"/>
  <c r="EF41" i="7"/>
  <c r="EE41" i="7"/>
  <c r="ED41" i="7"/>
  <c r="EA41" i="7"/>
  <c r="EJ40" i="7"/>
  <c r="EI40" i="7"/>
  <c r="EH40" i="7"/>
  <c r="EG40" i="7"/>
  <c r="EF40" i="7"/>
  <c r="EE40" i="7"/>
  <c r="ED40" i="7"/>
  <c r="EC40" i="7"/>
  <c r="EA40" i="7"/>
  <c r="EJ39" i="7"/>
  <c r="EI39" i="7"/>
  <c r="EH39" i="7"/>
  <c r="EG39" i="7"/>
  <c r="EF39" i="7"/>
  <c r="EE39" i="7"/>
  <c r="ED39" i="7"/>
  <c r="EA39" i="7"/>
  <c r="EJ32" i="7"/>
  <c r="EI32" i="7"/>
  <c r="EH32" i="7"/>
  <c r="EG32" i="7"/>
  <c r="EF32" i="7"/>
  <c r="EE32" i="7"/>
  <c r="ED32" i="7"/>
  <c r="EC32" i="7"/>
  <c r="EB32" i="7"/>
  <c r="EA32" i="7"/>
  <c r="EJ31" i="7"/>
  <c r="EI31" i="7"/>
  <c r="EH31" i="7"/>
  <c r="EG31" i="7"/>
  <c r="EF31" i="7"/>
  <c r="EE31" i="7"/>
  <c r="ED31" i="7"/>
  <c r="EC31" i="7"/>
  <c r="EB31" i="7"/>
  <c r="EA31" i="7"/>
  <c r="EM30" i="7"/>
  <c r="EL30" i="7"/>
  <c r="EK30" i="7"/>
  <c r="EJ30" i="7"/>
  <c r="EI30" i="7"/>
  <c r="EH30" i="7"/>
  <c r="EG30" i="7"/>
  <c r="EF30" i="7"/>
  <c r="EE30" i="7"/>
  <c r="ED30" i="7"/>
  <c r="EC30" i="7"/>
  <c r="EB30" i="7"/>
  <c r="EA30" i="7"/>
  <c r="EJ29" i="7"/>
  <c r="EI29" i="7"/>
  <c r="EH29" i="7"/>
  <c r="EG29" i="7"/>
  <c r="EF29" i="7"/>
  <c r="EE29" i="7"/>
  <c r="EA29" i="7"/>
  <c r="EJ28" i="7"/>
  <c r="EI28" i="7"/>
  <c r="EH28" i="7"/>
  <c r="EG28" i="7"/>
  <c r="EF28" i="7"/>
  <c r="EE28" i="7"/>
  <c r="EA28" i="7"/>
  <c r="EJ27" i="7"/>
  <c r="EI27" i="7"/>
  <c r="EH27" i="7"/>
  <c r="EG27" i="7"/>
  <c r="EF27" i="7"/>
  <c r="EE27" i="7"/>
  <c r="EC27" i="7"/>
  <c r="EB27" i="7"/>
  <c r="EA27" i="7"/>
  <c r="EJ26" i="7"/>
  <c r="EI26" i="7"/>
  <c r="EH26" i="7"/>
  <c r="EG26" i="7"/>
  <c r="EF26" i="7"/>
  <c r="EE26" i="7"/>
  <c r="ED26" i="7"/>
  <c r="EC26" i="7"/>
  <c r="EB26" i="7"/>
  <c r="EA26" i="7"/>
  <c r="EM25" i="7"/>
  <c r="EL25" i="7"/>
  <c r="EK25" i="7"/>
  <c r="EJ25" i="7"/>
  <c r="EI25" i="7"/>
  <c r="EH25" i="7"/>
  <c r="EG25" i="7"/>
  <c r="EF25" i="7"/>
  <c r="EE25" i="7"/>
  <c r="ED25" i="7"/>
  <c r="EC25" i="7"/>
  <c r="EB25" i="7"/>
  <c r="EA25" i="7"/>
  <c r="EJ24" i="7"/>
  <c r="EI24" i="7"/>
  <c r="EH24" i="7"/>
  <c r="EG24" i="7"/>
  <c r="EF24" i="7"/>
  <c r="EE24" i="7"/>
  <c r="ED24" i="7"/>
  <c r="EC24" i="7"/>
  <c r="EB24" i="7"/>
  <c r="EA24" i="7"/>
  <c r="EJ22" i="7"/>
  <c r="EI22" i="7"/>
  <c r="EH22" i="7"/>
  <c r="EG22" i="7"/>
  <c r="EF22" i="7"/>
  <c r="EE22" i="7"/>
  <c r="ED22" i="7"/>
  <c r="EC22" i="7"/>
  <c r="EB22" i="7"/>
  <c r="EA22" i="7"/>
  <c r="EJ21" i="7"/>
  <c r="EI21" i="7"/>
  <c r="EH21" i="7"/>
  <c r="EG21" i="7"/>
  <c r="EF21" i="7"/>
  <c r="EE21" i="7"/>
  <c r="ED21" i="7"/>
  <c r="EC21" i="7"/>
  <c r="EB21" i="7"/>
  <c r="EA21" i="7"/>
  <c r="EJ20" i="7"/>
  <c r="EI20" i="7"/>
  <c r="EH20" i="7"/>
  <c r="EG20" i="7"/>
  <c r="EF20" i="7"/>
  <c r="EE20" i="7"/>
  <c r="ED20" i="7"/>
  <c r="EC20" i="7"/>
  <c r="EB20" i="7"/>
  <c r="EA20" i="7"/>
  <c r="EJ19" i="7"/>
  <c r="EI19" i="7"/>
  <c r="EH19" i="7"/>
  <c r="EG19" i="7"/>
  <c r="EF19" i="7"/>
  <c r="EE19" i="7"/>
  <c r="ED19" i="7"/>
  <c r="EB19" i="7"/>
  <c r="EA19" i="7"/>
  <c r="EM18" i="7"/>
  <c r="EL18" i="7"/>
  <c r="EK18" i="7"/>
  <c r="EJ18" i="7"/>
  <c r="EI18" i="7"/>
  <c r="EH18" i="7"/>
  <c r="EG18" i="7"/>
  <c r="EF18" i="7"/>
  <c r="EE18" i="7"/>
  <c r="ED18" i="7"/>
  <c r="EC18" i="7"/>
  <c r="EB18" i="7"/>
  <c r="EA18" i="7"/>
  <c r="EM17" i="7"/>
  <c r="EL17" i="7"/>
  <c r="EK17" i="7"/>
  <c r="EJ17" i="7"/>
  <c r="EI17" i="7"/>
  <c r="EH17" i="7"/>
  <c r="EG17" i="7"/>
  <c r="EF17" i="7"/>
  <c r="EE17" i="7"/>
  <c r="ED17" i="7"/>
  <c r="EC17" i="7"/>
  <c r="EB17" i="7"/>
  <c r="EA17" i="7"/>
  <c r="EM16" i="7"/>
  <c r="EL16" i="7"/>
  <c r="EK16" i="7"/>
  <c r="EJ16" i="7"/>
  <c r="EI16" i="7"/>
  <c r="EH16" i="7"/>
  <c r="EG16" i="7"/>
  <c r="EF16" i="7"/>
  <c r="EE16" i="7"/>
  <c r="ED16" i="7"/>
  <c r="EC16" i="7"/>
  <c r="EB16" i="7"/>
  <c r="EA16" i="7"/>
  <c r="EM15" i="7"/>
  <c r="EL15" i="7"/>
  <c r="EK15" i="7"/>
  <c r="EJ15" i="7"/>
  <c r="EI15" i="7"/>
  <c r="EH15" i="7"/>
  <c r="EG15" i="7"/>
  <c r="EF15" i="7"/>
  <c r="EE15" i="7"/>
  <c r="ED15" i="7"/>
  <c r="EC15" i="7"/>
  <c r="EB15" i="7"/>
  <c r="EA15" i="7"/>
  <c r="EM14" i="7"/>
  <c r="EL14" i="7"/>
  <c r="EK14" i="7"/>
  <c r="EJ14" i="7"/>
  <c r="EI14" i="7"/>
  <c r="EH14" i="7"/>
  <c r="EG14" i="7"/>
  <c r="EF14" i="7"/>
  <c r="EE14" i="7"/>
  <c r="ED14" i="7"/>
  <c r="EC14" i="7"/>
  <c r="EB14" i="7"/>
  <c r="EA14" i="7"/>
  <c r="EM13" i="7"/>
  <c r="EL13" i="7"/>
  <c r="EK13" i="7"/>
  <c r="EJ13" i="7"/>
  <c r="EI13" i="7"/>
  <c r="EH13" i="7"/>
  <c r="EG13" i="7"/>
  <c r="EF13" i="7"/>
  <c r="EE13" i="7"/>
  <c r="ED13" i="7"/>
  <c r="EC13" i="7"/>
  <c r="EB13" i="7"/>
  <c r="EA13" i="7"/>
  <c r="EJ12" i="7"/>
  <c r="EI12" i="7"/>
  <c r="EH12" i="7"/>
  <c r="EG12" i="7"/>
  <c r="EF12" i="7"/>
  <c r="EE12" i="7"/>
  <c r="ED12" i="7"/>
  <c r="EC12" i="7"/>
  <c r="EB12" i="7"/>
  <c r="EA12" i="7"/>
  <c r="EJ11" i="7"/>
  <c r="EI11" i="7"/>
  <c r="EH11" i="7"/>
  <c r="EG11" i="7"/>
  <c r="EF11" i="7"/>
  <c r="EE11" i="7"/>
  <c r="ED11" i="7"/>
  <c r="EC11" i="7"/>
  <c r="EB11" i="7"/>
  <c r="EA11" i="7"/>
  <c r="EM10" i="7"/>
  <c r="EL10" i="7"/>
  <c r="EK10" i="7"/>
  <c r="EJ10" i="7"/>
  <c r="EI10" i="7"/>
  <c r="EH10" i="7"/>
  <c r="EG10" i="7"/>
  <c r="EF10" i="7"/>
  <c r="EE10" i="7"/>
  <c r="ED10" i="7"/>
  <c r="EC10" i="7"/>
  <c r="EB10" i="7"/>
  <c r="EA10" i="7"/>
  <c r="EM9" i="7"/>
  <c r="EL9" i="7"/>
  <c r="EK9" i="7"/>
  <c r="EJ9" i="7"/>
  <c r="EI9" i="7"/>
  <c r="EH9" i="7"/>
  <c r="EG9" i="7"/>
  <c r="EF9" i="7"/>
  <c r="EE9" i="7"/>
  <c r="ED9" i="7"/>
  <c r="F9" i="19" s="1"/>
  <c r="EC9" i="7"/>
  <c r="EB9" i="7"/>
  <c r="EA9" i="7"/>
  <c r="EM8" i="7"/>
  <c r="EL8" i="7"/>
  <c r="EK8" i="7"/>
  <c r="EJ8" i="7"/>
  <c r="EI8" i="7"/>
  <c r="EH8" i="7"/>
  <c r="EG8" i="7"/>
  <c r="EF8" i="7"/>
  <c r="EE8" i="7"/>
  <c r="ED8" i="7"/>
  <c r="EC8" i="7"/>
  <c r="EB8" i="7"/>
  <c r="EA8" i="7"/>
  <c r="EM7" i="7"/>
  <c r="EL7" i="7"/>
  <c r="EK7" i="7"/>
  <c r="EJ7" i="7"/>
  <c r="EI7" i="7"/>
  <c r="EH7" i="7"/>
  <c r="EG7" i="7"/>
  <c r="EF7" i="7"/>
  <c r="EE7" i="7"/>
  <c r="ED7" i="7"/>
  <c r="EC7" i="7"/>
  <c r="EB7" i="7"/>
  <c r="EA7" i="7"/>
  <c r="EJ6" i="7"/>
  <c r="EI6" i="7"/>
  <c r="EH6" i="7"/>
  <c r="EG6" i="7"/>
  <c r="EF6" i="7"/>
  <c r="EE6" i="7"/>
  <c r="ED6" i="7"/>
  <c r="EC6" i="7"/>
  <c r="EB6" i="7"/>
  <c r="EA6" i="7"/>
  <c r="EJ5" i="7"/>
  <c r="EI5" i="7"/>
  <c r="EH5" i="7"/>
  <c r="EG5" i="7"/>
  <c r="EF5" i="7"/>
  <c r="EE5" i="7"/>
  <c r="ED5" i="7"/>
  <c r="EC5" i="7"/>
  <c r="EB5" i="7"/>
  <c r="EA5" i="7"/>
  <c r="P37" i="33"/>
  <c r="P36" i="33"/>
  <c r="P35" i="33"/>
  <c r="P32" i="33"/>
  <c r="P31" i="33"/>
  <c r="P30" i="33"/>
  <c r="P29" i="33"/>
  <c r="P28" i="33"/>
  <c r="P27" i="33"/>
  <c r="P26" i="33"/>
  <c r="P25" i="33"/>
  <c r="P24" i="33"/>
  <c r="P20" i="33"/>
  <c r="P19" i="33"/>
  <c r="P16" i="33"/>
  <c r="P14" i="33"/>
  <c r="P13" i="33"/>
  <c r="P11" i="33"/>
  <c r="P10" i="33"/>
  <c r="P9" i="33"/>
  <c r="P5" i="33"/>
  <c r="P64" i="33"/>
  <c r="P63" i="33"/>
  <c r="P62" i="33"/>
  <c r="P61" i="33"/>
  <c r="P60" i="33"/>
  <c r="P59" i="33"/>
  <c r="P56" i="33"/>
  <c r="P55" i="33"/>
  <c r="P54" i="33"/>
  <c r="P52" i="33"/>
  <c r="P51" i="33"/>
  <c r="P50" i="33"/>
  <c r="P45" i="33"/>
  <c r="P44" i="33"/>
  <c r="P43" i="33"/>
  <c r="P42" i="33"/>
  <c r="F48" i="33"/>
  <c r="F33" i="33"/>
  <c r="P33" i="33" s="1"/>
  <c r="J33" i="33"/>
  <c r="J23" i="33"/>
  <c r="J34" i="33" s="1"/>
  <c r="F58" i="33"/>
  <c r="F65" i="33" s="1"/>
  <c r="J41" i="33"/>
  <c r="F53" i="33"/>
  <c r="J53" i="33"/>
  <c r="DX61" i="7"/>
  <c r="DX60" i="7"/>
  <c r="DX59" i="7"/>
  <c r="DX58" i="7"/>
  <c r="DX57" i="7"/>
  <c r="DX56" i="7"/>
  <c r="DX55" i="7"/>
  <c r="DX53" i="7"/>
  <c r="DX52" i="7"/>
  <c r="DX51" i="7"/>
  <c r="DX49" i="7"/>
  <c r="DX48" i="7"/>
  <c r="DX47" i="7"/>
  <c r="DX46" i="7"/>
  <c r="DX45" i="7"/>
  <c r="DX44" i="7"/>
  <c r="DX42" i="7"/>
  <c r="DX41" i="7"/>
  <c r="DX40" i="7"/>
  <c r="DX39" i="7"/>
  <c r="DX32" i="7"/>
  <c r="DX31" i="7"/>
  <c r="DX30" i="7"/>
  <c r="DX28" i="7"/>
  <c r="DX26" i="7"/>
  <c r="DX25" i="7"/>
  <c r="DX24" i="7"/>
  <c r="DX22" i="7"/>
  <c r="DX21" i="7"/>
  <c r="DX20" i="7"/>
  <c r="DX19" i="7"/>
  <c r="DX18" i="7"/>
  <c r="DX17" i="7"/>
  <c r="DX16" i="7"/>
  <c r="DX15" i="7"/>
  <c r="DX14" i="7"/>
  <c r="DX13" i="7"/>
  <c r="DX12" i="7"/>
  <c r="DX11" i="7"/>
  <c r="DX10" i="7"/>
  <c r="DX9" i="7"/>
  <c r="DX8" i="7"/>
  <c r="DX7" i="7"/>
  <c r="DX6" i="7"/>
  <c r="DX5" i="7"/>
  <c r="DN29" i="7"/>
  <c r="DN27" i="7"/>
  <c r="DN33" i="7" s="1"/>
  <c r="DN23" i="7"/>
  <c r="DN50" i="7"/>
  <c r="DN43" i="7"/>
  <c r="DN38" i="7" s="1"/>
  <c r="DN62" i="7"/>
  <c r="DH61" i="7"/>
  <c r="EN61" i="7" s="1"/>
  <c r="P64" i="19" s="1"/>
  <c r="DH60" i="7"/>
  <c r="DH59" i="7"/>
  <c r="DH58" i="7"/>
  <c r="EN58" i="7" s="1"/>
  <c r="DH57" i="7"/>
  <c r="DH56" i="7"/>
  <c r="DH55" i="7"/>
  <c r="DH53" i="7"/>
  <c r="DH52" i="7"/>
  <c r="DH51" i="7"/>
  <c r="DH49" i="7"/>
  <c r="DH48" i="7"/>
  <c r="DH47" i="7"/>
  <c r="EN47" i="7" s="1"/>
  <c r="DH46" i="7"/>
  <c r="EN46" i="7" s="1"/>
  <c r="DH45" i="7"/>
  <c r="DH44" i="7"/>
  <c r="DH42" i="7"/>
  <c r="EN42" i="7" s="1"/>
  <c r="DH41" i="7"/>
  <c r="DH40" i="7"/>
  <c r="DH39" i="7"/>
  <c r="DH32" i="7"/>
  <c r="DH31" i="7"/>
  <c r="DH30" i="7"/>
  <c r="DH28" i="7"/>
  <c r="DH27" i="7"/>
  <c r="DH26" i="7"/>
  <c r="DH25" i="7"/>
  <c r="DH24" i="7"/>
  <c r="DH22" i="7"/>
  <c r="DH21" i="7"/>
  <c r="DH20" i="7"/>
  <c r="DH19" i="7"/>
  <c r="DH18" i="7"/>
  <c r="DH17" i="7"/>
  <c r="DH16" i="7"/>
  <c r="DH15" i="7"/>
  <c r="DH14" i="7"/>
  <c r="DH13" i="7"/>
  <c r="DH12" i="7"/>
  <c r="DH11" i="7"/>
  <c r="DH10" i="7"/>
  <c r="DH9" i="7"/>
  <c r="DH8" i="7"/>
  <c r="DH7" i="7"/>
  <c r="DH6" i="7"/>
  <c r="DH5" i="7"/>
  <c r="CX33" i="7"/>
  <c r="CX29" i="7"/>
  <c r="DH29" i="7" s="1"/>
  <c r="CX23" i="7"/>
  <c r="CX43" i="7"/>
  <c r="CX50" i="7"/>
  <c r="CR61" i="7"/>
  <c r="CR60" i="7"/>
  <c r="CR59" i="7"/>
  <c r="CR58" i="7"/>
  <c r="CR57" i="7"/>
  <c r="CR56" i="7"/>
  <c r="CR55" i="7"/>
  <c r="CR53" i="7"/>
  <c r="CR52" i="7"/>
  <c r="CR51" i="7"/>
  <c r="CR49" i="7"/>
  <c r="CR48" i="7"/>
  <c r="CR47" i="7"/>
  <c r="CR46" i="7"/>
  <c r="CR45" i="7"/>
  <c r="CR44" i="7"/>
  <c r="CR42" i="7"/>
  <c r="CR41" i="7"/>
  <c r="CR40" i="7"/>
  <c r="CR39" i="7"/>
  <c r="CR32" i="7"/>
  <c r="CR31" i="7"/>
  <c r="CR30" i="7"/>
  <c r="CR28" i="7"/>
  <c r="CR27" i="7"/>
  <c r="CR26" i="7"/>
  <c r="CR25" i="7"/>
  <c r="CR24" i="7"/>
  <c r="CR22" i="7"/>
  <c r="CR21" i="7"/>
  <c r="CR20" i="7"/>
  <c r="CR19" i="7"/>
  <c r="CR18" i="7"/>
  <c r="CR17" i="7"/>
  <c r="CR16" i="7"/>
  <c r="CR15" i="7"/>
  <c r="CR14" i="7"/>
  <c r="CR13" i="7"/>
  <c r="CR12" i="7"/>
  <c r="CR11" i="7"/>
  <c r="CR10" i="7"/>
  <c r="CR9" i="7"/>
  <c r="CR8" i="7"/>
  <c r="CR7" i="7"/>
  <c r="CR6" i="7"/>
  <c r="CR5" i="7"/>
  <c r="CH33" i="7"/>
  <c r="CH29" i="7"/>
  <c r="CR29" i="7" s="1"/>
  <c r="CH23" i="7"/>
  <c r="CH50" i="7"/>
  <c r="CH43" i="7"/>
  <c r="CH38" i="7" s="1"/>
  <c r="CH62" i="7"/>
  <c r="CB61" i="7"/>
  <c r="CB60" i="7"/>
  <c r="CB59" i="7"/>
  <c r="CB58" i="7"/>
  <c r="CB57" i="7"/>
  <c r="CB56" i="7"/>
  <c r="CB55" i="7"/>
  <c r="CB53" i="7"/>
  <c r="CB52" i="7"/>
  <c r="CB51" i="7"/>
  <c r="CB49" i="7"/>
  <c r="CB48" i="7"/>
  <c r="CB47" i="7"/>
  <c r="CB46" i="7"/>
  <c r="CB45" i="7"/>
  <c r="CB44" i="7"/>
  <c r="CB43" i="7"/>
  <c r="CB42" i="7"/>
  <c r="CB41" i="7"/>
  <c r="CB40" i="7"/>
  <c r="CB39" i="7"/>
  <c r="CB32" i="7"/>
  <c r="CB31" i="7"/>
  <c r="CB30" i="7"/>
  <c r="CB27" i="7"/>
  <c r="CB26" i="7"/>
  <c r="CB25" i="7"/>
  <c r="CB24" i="7"/>
  <c r="CB22" i="7"/>
  <c r="CB21" i="7"/>
  <c r="CB20" i="7"/>
  <c r="CB19" i="7"/>
  <c r="CB18" i="7"/>
  <c r="CB17" i="7"/>
  <c r="CB16" i="7"/>
  <c r="CB15" i="7"/>
  <c r="CB14" i="7"/>
  <c r="CB13" i="7"/>
  <c r="CB12" i="7"/>
  <c r="CB11" i="7"/>
  <c r="CB10" i="7"/>
  <c r="CB9" i="7"/>
  <c r="CB8" i="7"/>
  <c r="CB7" i="7"/>
  <c r="CB6" i="7"/>
  <c r="CB5" i="7"/>
  <c r="BR28" i="7"/>
  <c r="BR33" i="7" s="1"/>
  <c r="BR23" i="7"/>
  <c r="BR50" i="7"/>
  <c r="BR38" i="7"/>
  <c r="BL61" i="7"/>
  <c r="BL60" i="7"/>
  <c r="BL59" i="7"/>
  <c r="BL58" i="7"/>
  <c r="BL57" i="7"/>
  <c r="EN57" i="7" s="1"/>
  <c r="BL56" i="7"/>
  <c r="BL55" i="7"/>
  <c r="BL53" i="7"/>
  <c r="EN53" i="7" s="1"/>
  <c r="P56" i="19" s="1"/>
  <c r="BL52" i="7"/>
  <c r="BL51" i="7"/>
  <c r="BL49" i="7"/>
  <c r="BL48" i="7"/>
  <c r="BL47" i="7"/>
  <c r="BL46" i="7"/>
  <c r="BL45" i="7"/>
  <c r="BL44" i="7"/>
  <c r="BL43" i="7"/>
  <c r="BL42" i="7"/>
  <c r="BL41" i="7"/>
  <c r="BL40" i="7"/>
  <c r="BL39" i="7"/>
  <c r="BL32" i="7"/>
  <c r="BL31" i="7"/>
  <c r="BL30" i="7"/>
  <c r="BL28" i="7"/>
  <c r="BL27" i="7"/>
  <c r="BL26" i="7"/>
  <c r="BL25" i="7"/>
  <c r="BL24" i="7"/>
  <c r="BL22" i="7"/>
  <c r="BL21" i="7"/>
  <c r="BL20" i="7"/>
  <c r="BL19" i="7"/>
  <c r="BL18" i="7"/>
  <c r="BL17" i="7"/>
  <c r="BL16" i="7"/>
  <c r="BL15" i="7"/>
  <c r="BL14" i="7"/>
  <c r="BL13" i="7"/>
  <c r="BL12" i="7"/>
  <c r="BL11" i="7"/>
  <c r="BL10" i="7"/>
  <c r="BL9" i="7"/>
  <c r="BL8" i="7"/>
  <c r="BL7" i="7"/>
  <c r="BL6" i="7"/>
  <c r="BL5" i="7"/>
  <c r="BB33" i="7"/>
  <c r="BB29" i="7"/>
  <c r="BL29" i="7" s="1"/>
  <c r="BB23" i="7"/>
  <c r="BB50" i="7"/>
  <c r="BB38" i="7"/>
  <c r="AV39" i="7"/>
  <c r="AV40" i="7"/>
  <c r="AV41" i="7"/>
  <c r="AV42" i="7"/>
  <c r="AV44" i="7"/>
  <c r="AV45" i="7"/>
  <c r="AV46" i="7"/>
  <c r="AV47" i="7"/>
  <c r="AV48" i="7"/>
  <c r="AV49" i="7"/>
  <c r="AV51" i="7"/>
  <c r="AV52" i="7"/>
  <c r="AV53" i="7"/>
  <c r="AV55" i="7"/>
  <c r="AV56" i="7"/>
  <c r="AV57" i="7"/>
  <c r="AV58" i="7"/>
  <c r="AV59" i="7"/>
  <c r="AV60" i="7"/>
  <c r="AV61" i="7"/>
  <c r="AV6" i="7"/>
  <c r="AV7" i="7"/>
  <c r="AV8" i="7"/>
  <c r="AV9" i="7"/>
  <c r="AV10" i="7"/>
  <c r="AV11" i="7"/>
  <c r="AV12" i="7"/>
  <c r="AV13" i="7"/>
  <c r="AV14" i="7"/>
  <c r="AV15" i="7"/>
  <c r="AV16" i="7"/>
  <c r="AV17" i="7"/>
  <c r="AV18" i="7"/>
  <c r="AV19" i="7"/>
  <c r="AV20" i="7"/>
  <c r="AV21" i="7"/>
  <c r="AV22" i="7"/>
  <c r="AV24" i="7"/>
  <c r="AV25" i="7"/>
  <c r="AV26" i="7"/>
  <c r="AV27" i="7"/>
  <c r="AV28" i="7"/>
  <c r="AV30" i="7"/>
  <c r="AV31" i="7"/>
  <c r="AV32" i="7"/>
  <c r="AV5" i="7"/>
  <c r="AL33" i="7"/>
  <c r="AL29" i="7"/>
  <c r="AV29" i="7" s="1"/>
  <c r="AL23" i="7"/>
  <c r="AL50" i="7"/>
  <c r="AL43" i="7"/>
  <c r="AL38" i="7" s="1"/>
  <c r="AF39" i="7"/>
  <c r="AF40" i="7"/>
  <c r="AF41" i="7"/>
  <c r="AF42" i="7"/>
  <c r="AF44" i="7"/>
  <c r="AF45" i="7"/>
  <c r="AF46" i="7"/>
  <c r="AF47" i="7"/>
  <c r="AF48" i="7"/>
  <c r="AF49" i="7"/>
  <c r="AF52" i="7"/>
  <c r="AF53" i="7"/>
  <c r="AF55" i="7"/>
  <c r="AF56" i="7"/>
  <c r="AF57" i="7"/>
  <c r="AF58" i="7"/>
  <c r="AF59" i="7"/>
  <c r="AF60" i="7"/>
  <c r="AF61" i="7"/>
  <c r="AF32" i="7"/>
  <c r="AF31" i="7"/>
  <c r="AF30" i="7"/>
  <c r="AF27" i="7"/>
  <c r="AF26" i="7"/>
  <c r="AF25" i="7"/>
  <c r="AF24" i="7"/>
  <c r="AF22" i="7"/>
  <c r="AF21" i="7"/>
  <c r="AF20" i="7"/>
  <c r="AF19" i="7"/>
  <c r="AF18" i="7"/>
  <c r="AF17" i="7"/>
  <c r="AF16" i="7"/>
  <c r="AF15" i="7"/>
  <c r="AF14" i="7"/>
  <c r="AF13" i="7"/>
  <c r="AF12" i="7"/>
  <c r="AF11" i="7"/>
  <c r="AF10" i="7"/>
  <c r="AF9" i="7"/>
  <c r="AF8" i="7"/>
  <c r="AF7" i="7"/>
  <c r="AF6" i="7"/>
  <c r="AF5" i="7"/>
  <c r="V28" i="7"/>
  <c r="AF28" i="7" s="1"/>
  <c r="V51" i="7"/>
  <c r="AF51" i="7" s="1"/>
  <c r="V43" i="7"/>
  <c r="AF43" i="7" s="1"/>
  <c r="P65" i="33" l="1"/>
  <c r="ED51" i="7"/>
  <c r="EN45" i="7"/>
  <c r="EN49" i="7"/>
  <c r="P52" i="19" s="1"/>
  <c r="P49" i="19"/>
  <c r="EN39" i="7"/>
  <c r="EN55" i="7"/>
  <c r="P58" i="19" s="1"/>
  <c r="CX38" i="7"/>
  <c r="EN9" i="7"/>
  <c r="P9" i="19" s="1"/>
  <c r="EN13" i="7"/>
  <c r="P13" i="19" s="1"/>
  <c r="EN17" i="7"/>
  <c r="EN51" i="7"/>
  <c r="EN6" i="7"/>
  <c r="EN7" i="7"/>
  <c r="EN15" i="7"/>
  <c r="P15" i="19" s="1"/>
  <c r="DN34" i="7"/>
  <c r="P53" i="33"/>
  <c r="P42" i="19"/>
  <c r="P58" i="33"/>
  <c r="P62" i="19"/>
  <c r="P67" i="19" s="1"/>
  <c r="F12" i="33"/>
  <c r="P12" i="33" s="1"/>
  <c r="F46" i="33"/>
  <c r="F41" i="33" s="1"/>
  <c r="EN8" i="7"/>
  <c r="P8" i="19" s="1"/>
  <c r="EN16" i="7"/>
  <c r="P16" i="19" s="1"/>
  <c r="EN25" i="7"/>
  <c r="P25" i="19" s="1"/>
  <c r="EN30" i="7"/>
  <c r="P30" i="19" s="1"/>
  <c r="J57" i="33"/>
  <c r="EN40" i="7"/>
  <c r="P43" i="19" s="1"/>
  <c r="EN44" i="7"/>
  <c r="EN52" i="7"/>
  <c r="P55" i="19" s="1"/>
  <c r="EN56" i="7"/>
  <c r="P59" i="19" s="1"/>
  <c r="EN60" i="7"/>
  <c r="P63" i="19" s="1"/>
  <c r="P47" i="19"/>
  <c r="AL34" i="7"/>
  <c r="P54" i="19"/>
  <c r="P44" i="19"/>
  <c r="P50" i="19"/>
  <c r="P60" i="19"/>
  <c r="P45" i="19"/>
  <c r="P61" i="19"/>
  <c r="EN10" i="7"/>
  <c r="P10" i="19" s="1"/>
  <c r="EN14" i="7"/>
  <c r="P14" i="19" s="1"/>
  <c r="EN18" i="7"/>
  <c r="P18" i="19" s="1"/>
  <c r="P17" i="19"/>
  <c r="P46" i="33"/>
  <c r="J66" i="33"/>
  <c r="EN20" i="7"/>
  <c r="P20" i="19" s="1"/>
  <c r="EN5" i="7"/>
  <c r="P5" i="19" s="1"/>
  <c r="EN26" i="7"/>
  <c r="P26" i="19" s="1"/>
  <c r="EN19" i="7"/>
  <c r="P19" i="19" s="1"/>
  <c r="DX43" i="7"/>
  <c r="ED28" i="7"/>
  <c r="DH43" i="7"/>
  <c r="DX27" i="7"/>
  <c r="ED27" i="7"/>
  <c r="DN54" i="7"/>
  <c r="DN63" i="7" s="1"/>
  <c r="BR54" i="7"/>
  <c r="BR63" i="7" s="1"/>
  <c r="CR43" i="7"/>
  <c r="CX34" i="7"/>
  <c r="CX54" i="7"/>
  <c r="CH34" i="7"/>
  <c r="BR34" i="7"/>
  <c r="CB28" i="7"/>
  <c r="CH54" i="7"/>
  <c r="BB34" i="7"/>
  <c r="BB54" i="7"/>
  <c r="AL54" i="7"/>
  <c r="AV43" i="7"/>
  <c r="N5" i="7"/>
  <c r="N6" i="7"/>
  <c r="N11" i="7"/>
  <c r="EN11" i="7" s="1"/>
  <c r="P11" i="19" s="1"/>
  <c r="N12" i="7"/>
  <c r="EN12" i="7" s="1"/>
  <c r="N19" i="7"/>
  <c r="N20" i="7"/>
  <c r="N21" i="7"/>
  <c r="EN21" i="7" s="1"/>
  <c r="P21" i="19" s="1"/>
  <c r="N22" i="7"/>
  <c r="EN22" i="7" s="1"/>
  <c r="P22" i="19" s="1"/>
  <c r="N24" i="7"/>
  <c r="EN24" i="7" s="1"/>
  <c r="P24" i="19" s="1"/>
  <c r="N26" i="7"/>
  <c r="N27" i="7"/>
  <c r="EN27" i="7" s="1"/>
  <c r="P27" i="19" s="1"/>
  <c r="N31" i="7"/>
  <c r="EN31" i="7" s="1"/>
  <c r="P31" i="19" s="1"/>
  <c r="N32" i="7"/>
  <c r="EN32" i="7" s="1"/>
  <c r="P32" i="19" s="1"/>
  <c r="N40" i="7"/>
  <c r="N42" i="7"/>
  <c r="N43" i="7"/>
  <c r="N48" i="7"/>
  <c r="N51" i="7"/>
  <c r="N52" i="7"/>
  <c r="N53" i="7"/>
  <c r="N55" i="7"/>
  <c r="N57" i="7"/>
  <c r="N58" i="7"/>
  <c r="N59" i="7"/>
  <c r="N61" i="7"/>
  <c r="F33" i="7"/>
  <c r="F29" i="7"/>
  <c r="F23" i="7"/>
  <c r="F50" i="7"/>
  <c r="F48" i="7"/>
  <c r="F43" i="7"/>
  <c r="P43" i="7" s="1"/>
  <c r="E38" i="7"/>
  <c r="ED29" i="7" l="1"/>
  <c r="P29" i="7"/>
  <c r="EN29" i="7" s="1"/>
  <c r="P29" i="19" s="1"/>
  <c r="EN43" i="7"/>
  <c r="P46" i="19"/>
  <c r="ED43" i="7"/>
  <c r="P12" i="19"/>
  <c r="P48" i="7"/>
  <c r="EN48" i="7" s="1"/>
  <c r="P51" i="19" s="1"/>
  <c r="ED48" i="7"/>
  <c r="F57" i="33"/>
  <c r="P41" i="33"/>
  <c r="DN65" i="7"/>
  <c r="CX63" i="7"/>
  <c r="CH63" i="7"/>
  <c r="BR65" i="7"/>
  <c r="BB63" i="7"/>
  <c r="AL63" i="7"/>
  <c r="F34" i="7"/>
  <c r="F38" i="7"/>
  <c r="D65" i="13"/>
  <c r="E70" i="13"/>
  <c r="D53" i="13"/>
  <c r="C50" i="13"/>
  <c r="C71" i="13" s="1"/>
  <c r="C73" i="13" s="1"/>
  <c r="E15" i="11"/>
  <c r="F54" i="7" l="1"/>
  <c r="F66" i="33"/>
  <c r="J70" i="33" s="1"/>
  <c r="P57" i="33"/>
  <c r="CH65" i="7"/>
  <c r="BB65" i="7"/>
  <c r="AL65" i="7"/>
  <c r="I28" i="13"/>
  <c r="J28" i="13"/>
  <c r="I29" i="13"/>
  <c r="J29" i="13"/>
  <c r="I30" i="13"/>
  <c r="J30" i="13"/>
  <c r="I31" i="13"/>
  <c r="J31" i="13"/>
  <c r="I33" i="13"/>
  <c r="J33" i="13"/>
  <c r="I34" i="13"/>
  <c r="J34" i="13"/>
  <c r="I35" i="13"/>
  <c r="J35" i="13"/>
  <c r="I37" i="13"/>
  <c r="J37" i="13"/>
  <c r="I38" i="13"/>
  <c r="J38" i="13"/>
  <c r="I39" i="13"/>
  <c r="J39" i="13"/>
  <c r="I40" i="13"/>
  <c r="J40" i="13"/>
  <c r="G41" i="13"/>
  <c r="H41" i="13"/>
  <c r="D27" i="13"/>
  <c r="D41" i="13" s="1"/>
  <c r="C27" i="13"/>
  <c r="I27" i="13" s="1"/>
  <c r="F41" i="13"/>
  <c r="E32" i="13"/>
  <c r="I32" i="13" s="1"/>
  <c r="I17" i="13"/>
  <c r="J17" i="13"/>
  <c r="D18" i="13"/>
  <c r="L63" i="19"/>
  <c r="K63" i="19"/>
  <c r="J63" i="19"/>
  <c r="I63" i="19"/>
  <c r="H63" i="19"/>
  <c r="G63" i="19"/>
  <c r="F63" i="19"/>
  <c r="E63" i="19"/>
  <c r="D63" i="19"/>
  <c r="C63" i="19"/>
  <c r="L59" i="19"/>
  <c r="K59" i="19"/>
  <c r="J59" i="19"/>
  <c r="I59" i="19"/>
  <c r="H59" i="19"/>
  <c r="G59" i="19"/>
  <c r="F59" i="19"/>
  <c r="E59" i="19"/>
  <c r="D59" i="19"/>
  <c r="C59" i="19"/>
  <c r="L52" i="19"/>
  <c r="K52" i="19"/>
  <c r="J52" i="19"/>
  <c r="I52" i="19"/>
  <c r="H52" i="19"/>
  <c r="G52" i="19"/>
  <c r="F52" i="19"/>
  <c r="E52" i="19"/>
  <c r="D52" i="19"/>
  <c r="C52" i="19"/>
  <c r="L50" i="19"/>
  <c r="K50" i="19"/>
  <c r="J50" i="19"/>
  <c r="I50" i="19"/>
  <c r="H50" i="19"/>
  <c r="G50" i="19"/>
  <c r="F50" i="19"/>
  <c r="E50" i="19"/>
  <c r="D50" i="19"/>
  <c r="C50" i="19"/>
  <c r="L49" i="19"/>
  <c r="K49" i="19"/>
  <c r="J49" i="19"/>
  <c r="I49" i="19"/>
  <c r="H49" i="19"/>
  <c r="G49" i="19"/>
  <c r="F49" i="19"/>
  <c r="E49" i="19"/>
  <c r="D49" i="19"/>
  <c r="C49" i="19"/>
  <c r="L47" i="19"/>
  <c r="K47" i="19"/>
  <c r="J47" i="19"/>
  <c r="I47" i="19"/>
  <c r="H47" i="19"/>
  <c r="G47" i="19"/>
  <c r="F47" i="19"/>
  <c r="E47" i="19"/>
  <c r="D47" i="19"/>
  <c r="C47" i="19"/>
  <c r="L30" i="19"/>
  <c r="K30" i="19"/>
  <c r="J30" i="19"/>
  <c r="I30" i="19"/>
  <c r="H30" i="19"/>
  <c r="G30" i="19"/>
  <c r="F30" i="19"/>
  <c r="E30" i="19"/>
  <c r="D30" i="19"/>
  <c r="C30" i="19"/>
  <c r="L25" i="19"/>
  <c r="K25" i="19"/>
  <c r="J25" i="19"/>
  <c r="I25" i="19"/>
  <c r="H25" i="19"/>
  <c r="G25" i="19"/>
  <c r="F25" i="19"/>
  <c r="E25" i="19"/>
  <c r="D25" i="19"/>
  <c r="C25" i="19"/>
  <c r="L18" i="19"/>
  <c r="K18" i="19"/>
  <c r="J18" i="19"/>
  <c r="I18" i="19"/>
  <c r="H18" i="19"/>
  <c r="G18" i="19"/>
  <c r="F18" i="19"/>
  <c r="C18" i="19"/>
  <c r="L17" i="19"/>
  <c r="K17" i="19"/>
  <c r="J17" i="19"/>
  <c r="I17" i="19"/>
  <c r="H17" i="19"/>
  <c r="G17" i="19"/>
  <c r="F17" i="19"/>
  <c r="C17" i="19"/>
  <c r="L16" i="19"/>
  <c r="K16" i="19"/>
  <c r="J16" i="19"/>
  <c r="I16" i="19"/>
  <c r="H16" i="19"/>
  <c r="G16" i="19"/>
  <c r="F16" i="19"/>
  <c r="E16" i="19"/>
  <c r="D16" i="19"/>
  <c r="C16" i="19"/>
  <c r="L15" i="19"/>
  <c r="K15" i="19"/>
  <c r="J15" i="19"/>
  <c r="G15" i="19"/>
  <c r="F15" i="19"/>
  <c r="L14" i="19"/>
  <c r="K14" i="19"/>
  <c r="J14" i="19"/>
  <c r="I14" i="19"/>
  <c r="H14" i="19"/>
  <c r="G14" i="19"/>
  <c r="F14" i="19"/>
  <c r="C14" i="19"/>
  <c r="L13" i="19"/>
  <c r="K13" i="19"/>
  <c r="J13" i="19"/>
  <c r="I13" i="19"/>
  <c r="H13" i="19"/>
  <c r="G13" i="19"/>
  <c r="F13" i="19"/>
  <c r="C13" i="19"/>
  <c r="L10" i="19"/>
  <c r="K10" i="19"/>
  <c r="J10" i="19"/>
  <c r="I10" i="19"/>
  <c r="H10" i="19"/>
  <c r="G10" i="19"/>
  <c r="F10" i="19"/>
  <c r="C10" i="19"/>
  <c r="L9" i="19"/>
  <c r="K9" i="19"/>
  <c r="J9" i="19"/>
  <c r="I9" i="19"/>
  <c r="H9" i="19"/>
  <c r="G9" i="19"/>
  <c r="E9" i="19"/>
  <c r="D9" i="19"/>
  <c r="C9" i="19"/>
  <c r="L8" i="19"/>
  <c r="K8" i="19"/>
  <c r="J8" i="19"/>
  <c r="I8" i="19"/>
  <c r="H8" i="19"/>
  <c r="G8" i="19"/>
  <c r="F8" i="19"/>
  <c r="E8" i="19"/>
  <c r="D8" i="19"/>
  <c r="C8" i="19"/>
  <c r="L7" i="19"/>
  <c r="J7" i="19"/>
  <c r="D7" i="19"/>
  <c r="L64" i="19"/>
  <c r="K64" i="19"/>
  <c r="J64" i="19"/>
  <c r="I64" i="19"/>
  <c r="H64" i="19"/>
  <c r="G64" i="19"/>
  <c r="F64" i="19"/>
  <c r="E64" i="19"/>
  <c r="D64" i="19"/>
  <c r="C64" i="19"/>
  <c r="L62" i="19"/>
  <c r="L67" i="19" s="1"/>
  <c r="K62" i="19"/>
  <c r="K67" i="19" s="1"/>
  <c r="J62" i="19"/>
  <c r="J67" i="19" s="1"/>
  <c r="I62" i="19"/>
  <c r="I67" i="19" s="1"/>
  <c r="H62" i="19"/>
  <c r="H67" i="19" s="1"/>
  <c r="G62" i="19"/>
  <c r="G67" i="19" s="1"/>
  <c r="D62" i="19"/>
  <c r="D67" i="19" s="1"/>
  <c r="C62" i="19"/>
  <c r="C67" i="19" s="1"/>
  <c r="L61" i="19"/>
  <c r="K61" i="19"/>
  <c r="J61" i="19"/>
  <c r="I61" i="19"/>
  <c r="H61" i="19"/>
  <c r="G61" i="19"/>
  <c r="F61" i="19"/>
  <c r="D61" i="19"/>
  <c r="L60" i="19"/>
  <c r="K60" i="19"/>
  <c r="J60" i="19"/>
  <c r="I60" i="19"/>
  <c r="H60" i="19"/>
  <c r="G60" i="19"/>
  <c r="F60" i="19"/>
  <c r="E60" i="19"/>
  <c r="D60" i="19"/>
  <c r="C60" i="19"/>
  <c r="L58" i="19"/>
  <c r="K58" i="19"/>
  <c r="J58" i="19"/>
  <c r="I58" i="19"/>
  <c r="H58" i="19"/>
  <c r="G58" i="19"/>
  <c r="F58" i="19"/>
  <c r="E58" i="19"/>
  <c r="D58" i="19"/>
  <c r="C58" i="19"/>
  <c r="L56" i="19"/>
  <c r="K56" i="19"/>
  <c r="J56" i="19"/>
  <c r="I56" i="19"/>
  <c r="H56" i="19"/>
  <c r="G56" i="19"/>
  <c r="F56" i="19"/>
  <c r="E56" i="19"/>
  <c r="D56" i="19"/>
  <c r="C56" i="19"/>
  <c r="L55" i="19"/>
  <c r="K55" i="19"/>
  <c r="J55" i="19"/>
  <c r="I55" i="19"/>
  <c r="H55" i="19"/>
  <c r="G55" i="19"/>
  <c r="F55" i="19"/>
  <c r="E55" i="19"/>
  <c r="D55" i="19"/>
  <c r="C55" i="19"/>
  <c r="L54" i="19"/>
  <c r="K54" i="19"/>
  <c r="J54" i="19"/>
  <c r="I54" i="19"/>
  <c r="H54" i="19"/>
  <c r="G54" i="19"/>
  <c r="F54" i="19"/>
  <c r="E54" i="19"/>
  <c r="D54" i="19"/>
  <c r="C54" i="19"/>
  <c r="L51" i="19"/>
  <c r="K51" i="19"/>
  <c r="J51" i="19"/>
  <c r="I51" i="19"/>
  <c r="H51" i="19"/>
  <c r="G51" i="19"/>
  <c r="F51" i="19"/>
  <c r="D51" i="19"/>
  <c r="C51" i="19"/>
  <c r="L46" i="19"/>
  <c r="J46" i="19"/>
  <c r="F46" i="19"/>
  <c r="L45" i="19"/>
  <c r="K45" i="19"/>
  <c r="J45" i="19"/>
  <c r="I45" i="19"/>
  <c r="H45" i="19"/>
  <c r="G45" i="19"/>
  <c r="F45" i="19"/>
  <c r="E45" i="19"/>
  <c r="D45" i="19"/>
  <c r="C45" i="19"/>
  <c r="L44" i="19"/>
  <c r="K44" i="19"/>
  <c r="J44" i="19"/>
  <c r="I44" i="19"/>
  <c r="H44" i="19"/>
  <c r="G44" i="19"/>
  <c r="F44" i="19"/>
  <c r="C44" i="19"/>
  <c r="L43" i="19"/>
  <c r="K43" i="19"/>
  <c r="J43" i="19"/>
  <c r="I43" i="19"/>
  <c r="H43" i="19"/>
  <c r="G43" i="19"/>
  <c r="F43" i="19"/>
  <c r="E43" i="19"/>
  <c r="C43" i="19"/>
  <c r="L42" i="19"/>
  <c r="K42" i="19"/>
  <c r="J42" i="19"/>
  <c r="I42" i="19"/>
  <c r="H42" i="19"/>
  <c r="G42" i="19"/>
  <c r="F42" i="19"/>
  <c r="C42" i="19"/>
  <c r="L32" i="19"/>
  <c r="K32" i="19"/>
  <c r="J32" i="19"/>
  <c r="I32" i="19"/>
  <c r="H32" i="19"/>
  <c r="G32" i="19"/>
  <c r="F32" i="19"/>
  <c r="E32" i="19"/>
  <c r="D32" i="19"/>
  <c r="C32" i="19"/>
  <c r="L31" i="19"/>
  <c r="K31" i="19"/>
  <c r="J31" i="19"/>
  <c r="I31" i="19"/>
  <c r="H31" i="19"/>
  <c r="G31" i="19"/>
  <c r="F31" i="19"/>
  <c r="E31" i="19"/>
  <c r="D31" i="19"/>
  <c r="C31" i="19"/>
  <c r="L29" i="19"/>
  <c r="K29" i="19"/>
  <c r="J29" i="19"/>
  <c r="I29" i="19"/>
  <c r="H29" i="19"/>
  <c r="G29" i="19"/>
  <c r="F29" i="19"/>
  <c r="C29" i="19"/>
  <c r="L28" i="19"/>
  <c r="L35" i="19" s="1"/>
  <c r="K28" i="19"/>
  <c r="K35" i="19" s="1"/>
  <c r="J28" i="19"/>
  <c r="J35" i="19" s="1"/>
  <c r="I28" i="19"/>
  <c r="I35" i="19" s="1"/>
  <c r="H28" i="19"/>
  <c r="H35" i="19" s="1"/>
  <c r="G28" i="19"/>
  <c r="G35" i="19" s="1"/>
  <c r="F28" i="19"/>
  <c r="F35" i="19" s="1"/>
  <c r="C28" i="19"/>
  <c r="C35" i="19" s="1"/>
  <c r="L27" i="19"/>
  <c r="K27" i="19"/>
  <c r="J27" i="19"/>
  <c r="I27" i="19"/>
  <c r="H27" i="19"/>
  <c r="G27" i="19"/>
  <c r="F27" i="19"/>
  <c r="E27" i="19"/>
  <c r="D27" i="19"/>
  <c r="C27" i="19"/>
  <c r="L26" i="19"/>
  <c r="K26" i="19"/>
  <c r="J26" i="19"/>
  <c r="I26" i="19"/>
  <c r="H26" i="19"/>
  <c r="G26" i="19"/>
  <c r="F26" i="19"/>
  <c r="E26" i="19"/>
  <c r="D26" i="19"/>
  <c r="C26" i="19"/>
  <c r="L24" i="19"/>
  <c r="K24" i="19"/>
  <c r="J24" i="19"/>
  <c r="I24" i="19"/>
  <c r="H24" i="19"/>
  <c r="G24" i="19"/>
  <c r="F24" i="19"/>
  <c r="E24" i="19"/>
  <c r="C24" i="19"/>
  <c r="L22" i="19"/>
  <c r="K22" i="19"/>
  <c r="J22" i="19"/>
  <c r="I22" i="19"/>
  <c r="H22" i="19"/>
  <c r="G22" i="19"/>
  <c r="F22" i="19"/>
  <c r="E22" i="19"/>
  <c r="D22" i="19"/>
  <c r="C22" i="19"/>
  <c r="L21" i="19"/>
  <c r="K21" i="19"/>
  <c r="J21" i="19"/>
  <c r="I21" i="19"/>
  <c r="H21" i="19"/>
  <c r="G21" i="19"/>
  <c r="F21" i="19"/>
  <c r="E21" i="19"/>
  <c r="D21" i="19"/>
  <c r="C21" i="19"/>
  <c r="L20" i="19"/>
  <c r="K20" i="19"/>
  <c r="J20" i="19"/>
  <c r="I20" i="19"/>
  <c r="H20" i="19"/>
  <c r="G20" i="19"/>
  <c r="F20" i="19"/>
  <c r="E20" i="19"/>
  <c r="D20" i="19"/>
  <c r="C20" i="19"/>
  <c r="L19" i="19"/>
  <c r="K19" i="19"/>
  <c r="J19" i="19"/>
  <c r="I19" i="19"/>
  <c r="H19" i="19"/>
  <c r="G19" i="19"/>
  <c r="F19" i="19"/>
  <c r="C19" i="19"/>
  <c r="L12" i="19"/>
  <c r="K12" i="19"/>
  <c r="J12" i="19"/>
  <c r="G12" i="19"/>
  <c r="F12" i="19"/>
  <c r="L11" i="19"/>
  <c r="K11" i="19"/>
  <c r="J11" i="19"/>
  <c r="I11" i="19"/>
  <c r="H11" i="19"/>
  <c r="G11" i="19"/>
  <c r="F11" i="19"/>
  <c r="E11" i="19"/>
  <c r="D11" i="19"/>
  <c r="C11" i="19"/>
  <c r="L6" i="19"/>
  <c r="K6" i="19"/>
  <c r="J6" i="19"/>
  <c r="I6" i="19"/>
  <c r="H6" i="19"/>
  <c r="G6" i="19"/>
  <c r="L5" i="19"/>
  <c r="K5" i="19"/>
  <c r="J5" i="19"/>
  <c r="I5" i="19"/>
  <c r="H5" i="19"/>
  <c r="G5" i="19"/>
  <c r="F5" i="19"/>
  <c r="E5" i="19"/>
  <c r="D5" i="19"/>
  <c r="DW61" i="7"/>
  <c r="DV61" i="7"/>
  <c r="DU61" i="7"/>
  <c r="DW59" i="7"/>
  <c r="DV59" i="7"/>
  <c r="DU59" i="7"/>
  <c r="DW58" i="7"/>
  <c r="DV58" i="7"/>
  <c r="DU58" i="7"/>
  <c r="DW57" i="7"/>
  <c r="DV57" i="7"/>
  <c r="DU57" i="7"/>
  <c r="DW55" i="7"/>
  <c r="DV55" i="7"/>
  <c r="DU55" i="7"/>
  <c r="DW53" i="7"/>
  <c r="DV53" i="7"/>
  <c r="DU53" i="7"/>
  <c r="DW52" i="7"/>
  <c r="DV52" i="7"/>
  <c r="DU52" i="7"/>
  <c r="DW51" i="7"/>
  <c r="DV51" i="7"/>
  <c r="DU51" i="7"/>
  <c r="DW48" i="7"/>
  <c r="DV48" i="7"/>
  <c r="DU48" i="7"/>
  <c r="DW43" i="7"/>
  <c r="DV43" i="7"/>
  <c r="DU43" i="7"/>
  <c r="DW42" i="7"/>
  <c r="DV42" i="7"/>
  <c r="DU42" i="7"/>
  <c r="DW41" i="7"/>
  <c r="DU41" i="7"/>
  <c r="DW40" i="7"/>
  <c r="DU40" i="7"/>
  <c r="DW39" i="7"/>
  <c r="DU39" i="7"/>
  <c r="DW32" i="7"/>
  <c r="DV32" i="7"/>
  <c r="DU32" i="7"/>
  <c r="DW31" i="7"/>
  <c r="DV31" i="7"/>
  <c r="DU31" i="7"/>
  <c r="DU29" i="7"/>
  <c r="DU28" i="7"/>
  <c r="DW27" i="7"/>
  <c r="DV27" i="7"/>
  <c r="DU27" i="7"/>
  <c r="DW26" i="7"/>
  <c r="DV26" i="7"/>
  <c r="DU26" i="7"/>
  <c r="DW24" i="7"/>
  <c r="DV24" i="7"/>
  <c r="DU24" i="7"/>
  <c r="DW22" i="7"/>
  <c r="DV22" i="7"/>
  <c r="DU22" i="7"/>
  <c r="DW21" i="7"/>
  <c r="DV21" i="7"/>
  <c r="DU21" i="7"/>
  <c r="DW20" i="7"/>
  <c r="DV20" i="7"/>
  <c r="DU20" i="7"/>
  <c r="DV19" i="7"/>
  <c r="DU19" i="7"/>
  <c r="DW12" i="7"/>
  <c r="DV12" i="7"/>
  <c r="DU12" i="7"/>
  <c r="DW11" i="7"/>
  <c r="DV11" i="7"/>
  <c r="DU11" i="7"/>
  <c r="DW6" i="7"/>
  <c r="DV6" i="7"/>
  <c r="DU6" i="7"/>
  <c r="DW5" i="7"/>
  <c r="DV5" i="7"/>
  <c r="DU5" i="7"/>
  <c r="DG61" i="7"/>
  <c r="DF61" i="7"/>
  <c r="DE61" i="7"/>
  <c r="DG59" i="7"/>
  <c r="DF59" i="7"/>
  <c r="DE59" i="7"/>
  <c r="DG58" i="7"/>
  <c r="DF58" i="7"/>
  <c r="DE58" i="7"/>
  <c r="DG57" i="7"/>
  <c r="DF57" i="7"/>
  <c r="DE57" i="7"/>
  <c r="DG55" i="7"/>
  <c r="DF55" i="7"/>
  <c r="DE55" i="7"/>
  <c r="DG53" i="7"/>
  <c r="DF53" i="7"/>
  <c r="DE53" i="7"/>
  <c r="DG52" i="7"/>
  <c r="DF52" i="7"/>
  <c r="DE52" i="7"/>
  <c r="DG51" i="7"/>
  <c r="DF51" i="7"/>
  <c r="DE51" i="7"/>
  <c r="DG48" i="7"/>
  <c r="DF48" i="7"/>
  <c r="DE48" i="7"/>
  <c r="DG43" i="7"/>
  <c r="DF43" i="7"/>
  <c r="DE43" i="7"/>
  <c r="DG42" i="7"/>
  <c r="DF42" i="7"/>
  <c r="DE42" i="7"/>
  <c r="DG41" i="7"/>
  <c r="DE41" i="7"/>
  <c r="DG40" i="7"/>
  <c r="DF40" i="7"/>
  <c r="DE40" i="7"/>
  <c r="DF39" i="7"/>
  <c r="DE39" i="7"/>
  <c r="DG32" i="7"/>
  <c r="DF32" i="7"/>
  <c r="DE32" i="7"/>
  <c r="DG31" i="7"/>
  <c r="DF31" i="7"/>
  <c r="DE31" i="7"/>
  <c r="DF29" i="7"/>
  <c r="DE29" i="7"/>
  <c r="DF28" i="7"/>
  <c r="DE28" i="7"/>
  <c r="DG27" i="7"/>
  <c r="DF27" i="7"/>
  <c r="DE27" i="7"/>
  <c r="DG26" i="7"/>
  <c r="DF26" i="7"/>
  <c r="DE26" i="7"/>
  <c r="DG24" i="7"/>
  <c r="DF24" i="7"/>
  <c r="DE24" i="7"/>
  <c r="DG22" i="7"/>
  <c r="DF22" i="7"/>
  <c r="DE22" i="7"/>
  <c r="DG21" i="7"/>
  <c r="DF21" i="7"/>
  <c r="DE21" i="7"/>
  <c r="DG20" i="7"/>
  <c r="DF20" i="7"/>
  <c r="DE20" i="7"/>
  <c r="DG19" i="7"/>
  <c r="DF19" i="7"/>
  <c r="DE19" i="7"/>
  <c r="DG12" i="7"/>
  <c r="DF12" i="7"/>
  <c r="DE12" i="7"/>
  <c r="DG11" i="7"/>
  <c r="DF11" i="7"/>
  <c r="DE11" i="7"/>
  <c r="DG6" i="7"/>
  <c r="DF6" i="7"/>
  <c r="DE6" i="7"/>
  <c r="DG5" i="7"/>
  <c r="DF5" i="7"/>
  <c r="DE5" i="7"/>
  <c r="CQ32" i="7"/>
  <c r="CP32" i="7"/>
  <c r="CO32" i="7"/>
  <c r="CQ31" i="7"/>
  <c r="CP31" i="7"/>
  <c r="CO31" i="7"/>
  <c r="CP29" i="7"/>
  <c r="CO29" i="7"/>
  <c r="CP28" i="7"/>
  <c r="CO28" i="7"/>
  <c r="CQ27" i="7"/>
  <c r="CP27" i="7"/>
  <c r="CO27" i="7"/>
  <c r="CQ26" i="7"/>
  <c r="CP26" i="7"/>
  <c r="CO26" i="7"/>
  <c r="CQ24" i="7"/>
  <c r="CP24" i="7"/>
  <c r="CO24" i="7"/>
  <c r="CQ22" i="7"/>
  <c r="CP22" i="7"/>
  <c r="CO22" i="7"/>
  <c r="CQ21" i="7"/>
  <c r="CP21" i="7"/>
  <c r="CO21" i="7"/>
  <c r="CQ20" i="7"/>
  <c r="CP20" i="7"/>
  <c r="CO20" i="7"/>
  <c r="CQ19" i="7"/>
  <c r="CP19" i="7"/>
  <c r="CO19" i="7"/>
  <c r="CQ12" i="7"/>
  <c r="CP12" i="7"/>
  <c r="CO12" i="7"/>
  <c r="CQ11" i="7"/>
  <c r="CP11" i="7"/>
  <c r="CO11" i="7"/>
  <c r="CQ6" i="7"/>
  <c r="CP6" i="7"/>
  <c r="CO6" i="7"/>
  <c r="CQ5" i="7"/>
  <c r="CP5" i="7"/>
  <c r="CO5" i="7"/>
  <c r="CQ61" i="7"/>
  <c r="CP61" i="7"/>
  <c r="CO61" i="7"/>
  <c r="CQ59" i="7"/>
  <c r="CP59" i="7"/>
  <c r="CO59" i="7"/>
  <c r="CQ58" i="7"/>
  <c r="CP58" i="7"/>
  <c r="CO58" i="7"/>
  <c r="CQ57" i="7"/>
  <c r="CP57" i="7"/>
  <c r="CO57" i="7"/>
  <c r="CQ55" i="7"/>
  <c r="CP55" i="7"/>
  <c r="CO55" i="7"/>
  <c r="CQ53" i="7"/>
  <c r="CP53" i="7"/>
  <c r="CO53" i="7"/>
  <c r="CQ52" i="7"/>
  <c r="CP52" i="7"/>
  <c r="CO52" i="7"/>
  <c r="CQ51" i="7"/>
  <c r="CP51" i="7"/>
  <c r="CO51" i="7"/>
  <c r="CQ48" i="7"/>
  <c r="CP48" i="7"/>
  <c r="CO48" i="7"/>
  <c r="CQ43" i="7"/>
  <c r="CP43" i="7"/>
  <c r="CO43" i="7"/>
  <c r="CQ42" i="7"/>
  <c r="CP42" i="7"/>
  <c r="CO42" i="7"/>
  <c r="CO41" i="7"/>
  <c r="CQ40" i="7"/>
  <c r="CP40" i="7"/>
  <c r="CO40" i="7"/>
  <c r="CQ39" i="7"/>
  <c r="CP39" i="7"/>
  <c r="CO39" i="7"/>
  <c r="CA61" i="7"/>
  <c r="BZ61" i="7"/>
  <c r="BY61" i="7"/>
  <c r="CA59" i="7"/>
  <c r="BZ59" i="7"/>
  <c r="BY59" i="7"/>
  <c r="CA58" i="7"/>
  <c r="BZ58" i="7"/>
  <c r="BY58" i="7"/>
  <c r="CA57" i="7"/>
  <c r="BZ57" i="7"/>
  <c r="BY57" i="7"/>
  <c r="CA55" i="7"/>
  <c r="BZ55" i="7"/>
  <c r="BY55" i="7"/>
  <c r="CA53" i="7"/>
  <c r="BZ53" i="7"/>
  <c r="BY53" i="7"/>
  <c r="CA52" i="7"/>
  <c r="BZ52" i="7"/>
  <c r="BY52" i="7"/>
  <c r="CA51" i="7"/>
  <c r="BZ51" i="7"/>
  <c r="BY51" i="7"/>
  <c r="CA48" i="7"/>
  <c r="BZ48" i="7"/>
  <c r="BY48" i="7"/>
  <c r="CA43" i="7"/>
  <c r="BZ43" i="7"/>
  <c r="BY43" i="7"/>
  <c r="CA42" i="7"/>
  <c r="BZ42" i="7"/>
  <c r="BY42" i="7"/>
  <c r="BY41" i="7"/>
  <c r="CA40" i="7"/>
  <c r="BZ40" i="7"/>
  <c r="BY40" i="7"/>
  <c r="CA39" i="7"/>
  <c r="BZ39" i="7"/>
  <c r="BY39" i="7"/>
  <c r="CA32" i="7"/>
  <c r="BZ32" i="7"/>
  <c r="BY32" i="7"/>
  <c r="CA31" i="7"/>
  <c r="BZ31" i="7"/>
  <c r="BY31" i="7"/>
  <c r="BZ29" i="7"/>
  <c r="BY29" i="7"/>
  <c r="BZ28" i="7"/>
  <c r="BY28" i="7"/>
  <c r="CA27" i="7"/>
  <c r="BZ27" i="7"/>
  <c r="BY27" i="7"/>
  <c r="CA26" i="7"/>
  <c r="BZ26" i="7"/>
  <c r="BY26" i="7"/>
  <c r="CA24" i="7"/>
  <c r="BZ24" i="7"/>
  <c r="BY24" i="7"/>
  <c r="CA22" i="7"/>
  <c r="BZ22" i="7"/>
  <c r="BY22" i="7"/>
  <c r="CA21" i="7"/>
  <c r="BZ21" i="7"/>
  <c r="BY21" i="7"/>
  <c r="CA20" i="7"/>
  <c r="BZ20" i="7"/>
  <c r="BY20" i="7"/>
  <c r="CA19" i="7"/>
  <c r="BZ19" i="7"/>
  <c r="BY19" i="7"/>
  <c r="CA12" i="7"/>
  <c r="BZ12" i="7"/>
  <c r="BY12" i="7"/>
  <c r="CA11" i="7"/>
  <c r="BZ11" i="7"/>
  <c r="BY11" i="7"/>
  <c r="CA6" i="7"/>
  <c r="BZ6" i="7"/>
  <c r="BY6" i="7"/>
  <c r="CA5" i="7"/>
  <c r="BZ5" i="7"/>
  <c r="BY5" i="7"/>
  <c r="BK61" i="7"/>
  <c r="BJ61" i="7"/>
  <c r="BI61" i="7"/>
  <c r="BK59" i="7"/>
  <c r="BJ59" i="7"/>
  <c r="BI59" i="7"/>
  <c r="BK58" i="7"/>
  <c r="BJ58" i="7"/>
  <c r="BI58" i="7"/>
  <c r="BK57" i="7"/>
  <c r="BJ57" i="7"/>
  <c r="BI57" i="7"/>
  <c r="BK55" i="7"/>
  <c r="BJ55" i="7"/>
  <c r="BI55" i="7"/>
  <c r="BK53" i="7"/>
  <c r="BJ53" i="7"/>
  <c r="BI53" i="7"/>
  <c r="BK52" i="7"/>
  <c r="BJ52" i="7"/>
  <c r="BI52" i="7"/>
  <c r="BK51" i="7"/>
  <c r="BJ51" i="7"/>
  <c r="BI51" i="7"/>
  <c r="BK48" i="7"/>
  <c r="BJ48" i="7"/>
  <c r="BI48" i="7"/>
  <c r="BK43" i="7"/>
  <c r="BJ43" i="7"/>
  <c r="BI43" i="7"/>
  <c r="BK42" i="7"/>
  <c r="BJ42" i="7"/>
  <c r="BI42" i="7"/>
  <c r="BK41" i="7"/>
  <c r="BI41" i="7"/>
  <c r="BK40" i="7"/>
  <c r="BJ40" i="7"/>
  <c r="BI40" i="7"/>
  <c r="BK39" i="7"/>
  <c r="BJ39" i="7"/>
  <c r="BI39" i="7"/>
  <c r="BK32" i="7"/>
  <c r="BJ32" i="7"/>
  <c r="BI32" i="7"/>
  <c r="BK31" i="7"/>
  <c r="BJ31" i="7"/>
  <c r="BI31" i="7"/>
  <c r="BJ29" i="7"/>
  <c r="BI29" i="7"/>
  <c r="BJ28" i="7"/>
  <c r="BI28" i="7"/>
  <c r="BK27" i="7"/>
  <c r="BJ27" i="7"/>
  <c r="BI27" i="7"/>
  <c r="BK26" i="7"/>
  <c r="BJ26" i="7"/>
  <c r="BI26" i="7"/>
  <c r="BK24" i="7"/>
  <c r="BJ24" i="7"/>
  <c r="BI24" i="7"/>
  <c r="BK22" i="7"/>
  <c r="BJ22" i="7"/>
  <c r="BI22" i="7"/>
  <c r="BK21" i="7"/>
  <c r="BJ21" i="7"/>
  <c r="BI21" i="7"/>
  <c r="BK20" i="7"/>
  <c r="BJ20" i="7"/>
  <c r="BI20" i="7"/>
  <c r="BK19" i="7"/>
  <c r="BJ19" i="7"/>
  <c r="BI19" i="7"/>
  <c r="BK12" i="7"/>
  <c r="BJ12" i="7"/>
  <c r="BI12" i="7"/>
  <c r="BK11" i="7"/>
  <c r="BJ11" i="7"/>
  <c r="BI11" i="7"/>
  <c r="BK6" i="7"/>
  <c r="BJ6" i="7"/>
  <c r="BI6" i="7"/>
  <c r="BK5" i="7"/>
  <c r="BJ5" i="7"/>
  <c r="BI5" i="7"/>
  <c r="AU32" i="7"/>
  <c r="AT32" i="7"/>
  <c r="AS32" i="7"/>
  <c r="AU31" i="7"/>
  <c r="AT31" i="7"/>
  <c r="AS31" i="7"/>
  <c r="AT29" i="7"/>
  <c r="AS29" i="7"/>
  <c r="AT28" i="7"/>
  <c r="AS28" i="7"/>
  <c r="AU27" i="7"/>
  <c r="AT27" i="7"/>
  <c r="AS27" i="7"/>
  <c r="AU26" i="7"/>
  <c r="AT26" i="7"/>
  <c r="AS26" i="7"/>
  <c r="AU24" i="7"/>
  <c r="AT24" i="7"/>
  <c r="AS24" i="7"/>
  <c r="AU22" i="7"/>
  <c r="AT22" i="7"/>
  <c r="AS22" i="7"/>
  <c r="AU21" i="7"/>
  <c r="AT21" i="7"/>
  <c r="AS21" i="7"/>
  <c r="AU20" i="7"/>
  <c r="AT20" i="7"/>
  <c r="AS20" i="7"/>
  <c r="AU19" i="7"/>
  <c r="AT19" i="7"/>
  <c r="AS19" i="7"/>
  <c r="AU12" i="7"/>
  <c r="AT12" i="7"/>
  <c r="AS12" i="7"/>
  <c r="AU11" i="7"/>
  <c r="AT11" i="7"/>
  <c r="AS11" i="7"/>
  <c r="AU6" i="7"/>
  <c r="AT6" i="7"/>
  <c r="AS6" i="7"/>
  <c r="AU5" i="7"/>
  <c r="AT5" i="7"/>
  <c r="AS5" i="7"/>
  <c r="AU61" i="7"/>
  <c r="AT61" i="7"/>
  <c r="AS61" i="7"/>
  <c r="AU59" i="7"/>
  <c r="AT59" i="7"/>
  <c r="AS59" i="7"/>
  <c r="AU58" i="7"/>
  <c r="AT58" i="7"/>
  <c r="AS58" i="7"/>
  <c r="AU57" i="7"/>
  <c r="AT57" i="7"/>
  <c r="AS57" i="7"/>
  <c r="AU55" i="7"/>
  <c r="AT55" i="7"/>
  <c r="AS55" i="7"/>
  <c r="AU53" i="7"/>
  <c r="AT53" i="7"/>
  <c r="AS53" i="7"/>
  <c r="AU52" i="7"/>
  <c r="AT52" i="7"/>
  <c r="AS52" i="7"/>
  <c r="AU51" i="7"/>
  <c r="AT51" i="7"/>
  <c r="AS51" i="7"/>
  <c r="AU48" i="7"/>
  <c r="AT48" i="7"/>
  <c r="AS48" i="7"/>
  <c r="AU43" i="7"/>
  <c r="AT43" i="7"/>
  <c r="AS43" i="7"/>
  <c r="AU42" i="7"/>
  <c r="AT42" i="7"/>
  <c r="AS42" i="7"/>
  <c r="AU41" i="7"/>
  <c r="AS41" i="7"/>
  <c r="AU40" i="7"/>
  <c r="AT40" i="7"/>
  <c r="AS40" i="7"/>
  <c r="AU39" i="7"/>
  <c r="AT39" i="7"/>
  <c r="AS39" i="7"/>
  <c r="AE61" i="7"/>
  <c r="AD61" i="7"/>
  <c r="AC61" i="7"/>
  <c r="AE59" i="7"/>
  <c r="AD59" i="7"/>
  <c r="AC59" i="7"/>
  <c r="AE58" i="7"/>
  <c r="AD58" i="7"/>
  <c r="AC58" i="7"/>
  <c r="AE57" i="7"/>
  <c r="AD57" i="7"/>
  <c r="AC57" i="7"/>
  <c r="AE55" i="7"/>
  <c r="AD55" i="7"/>
  <c r="AC55" i="7"/>
  <c r="AE53" i="7"/>
  <c r="AD53" i="7"/>
  <c r="AC53" i="7"/>
  <c r="AE52" i="7"/>
  <c r="AD52" i="7"/>
  <c r="AC52" i="7"/>
  <c r="AE51" i="7"/>
  <c r="AD51" i="7"/>
  <c r="AC51" i="7"/>
  <c r="AE48" i="7"/>
  <c r="AD48" i="7"/>
  <c r="AC48" i="7"/>
  <c r="AE43" i="7"/>
  <c r="AD43" i="7"/>
  <c r="AC43" i="7"/>
  <c r="AE42" i="7"/>
  <c r="AD42" i="7"/>
  <c r="AC42" i="7"/>
  <c r="AC41" i="7"/>
  <c r="AE40" i="7"/>
  <c r="AD40" i="7"/>
  <c r="AC40" i="7"/>
  <c r="AE39" i="7"/>
  <c r="AD39" i="7"/>
  <c r="AC39" i="7"/>
  <c r="AE32" i="7"/>
  <c r="AD32" i="7"/>
  <c r="AC32" i="7"/>
  <c r="AE31" i="7"/>
  <c r="AD31" i="7"/>
  <c r="AC31" i="7"/>
  <c r="AD29" i="7"/>
  <c r="AC29" i="7"/>
  <c r="AD28" i="7"/>
  <c r="AC28" i="7"/>
  <c r="AE27" i="7"/>
  <c r="AD27" i="7"/>
  <c r="AC27" i="7"/>
  <c r="AE26" i="7"/>
  <c r="AD26" i="7"/>
  <c r="AC26" i="7"/>
  <c r="AE24" i="7"/>
  <c r="AD24" i="7"/>
  <c r="AC24" i="7"/>
  <c r="AE22" i="7"/>
  <c r="AD22" i="7"/>
  <c r="AC22" i="7"/>
  <c r="AE21" i="7"/>
  <c r="AD21" i="7"/>
  <c r="AC21" i="7"/>
  <c r="AE20" i="7"/>
  <c r="AD20" i="7"/>
  <c r="AC20" i="7"/>
  <c r="AE19" i="7"/>
  <c r="AD19" i="7"/>
  <c r="AC19" i="7"/>
  <c r="AE12" i="7"/>
  <c r="AD12" i="7"/>
  <c r="AC12" i="7"/>
  <c r="AE11" i="7"/>
  <c r="AD11" i="7"/>
  <c r="AC11" i="7"/>
  <c r="AE6" i="7"/>
  <c r="AD6" i="7"/>
  <c r="AC6" i="7"/>
  <c r="AE5" i="7"/>
  <c r="AD5" i="7"/>
  <c r="AC5" i="7"/>
  <c r="M61" i="7"/>
  <c r="O61" i="7" s="1"/>
  <c r="M59" i="7"/>
  <c r="O59" i="7" s="1"/>
  <c r="M58" i="7"/>
  <c r="O58" i="7" s="1"/>
  <c r="M57" i="7"/>
  <c r="O57" i="7" s="1"/>
  <c r="M55" i="7"/>
  <c r="O55" i="7" s="1"/>
  <c r="M53" i="7"/>
  <c r="O53" i="7" s="1"/>
  <c r="M52" i="7"/>
  <c r="O52" i="7" s="1"/>
  <c r="M51" i="7"/>
  <c r="O51" i="7" s="1"/>
  <c r="M48" i="7"/>
  <c r="O48" i="7" s="1"/>
  <c r="M43" i="7"/>
  <c r="O43" i="7" s="1"/>
  <c r="M42" i="7"/>
  <c r="O42" i="7" s="1"/>
  <c r="M41" i="7"/>
  <c r="O41" i="7" s="1"/>
  <c r="M40" i="7"/>
  <c r="O40" i="7" s="1"/>
  <c r="M39" i="7"/>
  <c r="O39" i="7" s="1"/>
  <c r="M32" i="7"/>
  <c r="O32" i="7" s="1"/>
  <c r="M31" i="7"/>
  <c r="O31" i="7" s="1"/>
  <c r="M29" i="7"/>
  <c r="M28" i="7"/>
  <c r="M27" i="7"/>
  <c r="O27" i="7" s="1"/>
  <c r="M26" i="7"/>
  <c r="O26" i="7" s="1"/>
  <c r="M24" i="7"/>
  <c r="O24" i="7" s="1"/>
  <c r="M22" i="7"/>
  <c r="O22" i="7" s="1"/>
  <c r="M21" i="7"/>
  <c r="O21" i="7" s="1"/>
  <c r="M20" i="7"/>
  <c r="O20" i="7" s="1"/>
  <c r="M19" i="7"/>
  <c r="O19" i="7" s="1"/>
  <c r="M12" i="7"/>
  <c r="O12" i="7" s="1"/>
  <c r="M11" i="7"/>
  <c r="O11" i="7" s="1"/>
  <c r="M6" i="7"/>
  <c r="O6" i="7" s="1"/>
  <c r="M5" i="7"/>
  <c r="O5" i="7" s="1"/>
  <c r="DP62" i="7"/>
  <c r="DP50" i="7"/>
  <c r="DP38" i="7"/>
  <c r="DP33" i="7"/>
  <c r="DP23" i="7"/>
  <c r="DQ62" i="7"/>
  <c r="DQ50" i="7"/>
  <c r="DQ38" i="7"/>
  <c r="DQ33" i="7"/>
  <c r="DQ23" i="7"/>
  <c r="CZ62" i="7"/>
  <c r="CZ50" i="7"/>
  <c r="CZ38" i="7"/>
  <c r="CZ33" i="7"/>
  <c r="CZ23" i="7"/>
  <c r="DA62" i="7"/>
  <c r="DA50" i="7"/>
  <c r="DA38" i="7"/>
  <c r="DA33" i="7"/>
  <c r="DA23" i="7"/>
  <c r="CJ62" i="7"/>
  <c r="CJ50" i="7"/>
  <c r="CJ38" i="7"/>
  <c r="CJ33" i="7"/>
  <c r="CJ23" i="7"/>
  <c r="CK62" i="7"/>
  <c r="CK50" i="7"/>
  <c r="CK38" i="7"/>
  <c r="CK33" i="7"/>
  <c r="CK23" i="7"/>
  <c r="BT62" i="7"/>
  <c r="BT50" i="7"/>
  <c r="BT38" i="7"/>
  <c r="BT33" i="7"/>
  <c r="BT23" i="7"/>
  <c r="BU62" i="7"/>
  <c r="BU50" i="7"/>
  <c r="BU38" i="7"/>
  <c r="BU33" i="7"/>
  <c r="BU23" i="7"/>
  <c r="BD62" i="7"/>
  <c r="BD50" i="7"/>
  <c r="BD38" i="7"/>
  <c r="BD33" i="7"/>
  <c r="BD23" i="7"/>
  <c r="BE62" i="7"/>
  <c r="BE50" i="7"/>
  <c r="BE38" i="7"/>
  <c r="BE33" i="7"/>
  <c r="BE23" i="7"/>
  <c r="AN62" i="7"/>
  <c r="AN50" i="7"/>
  <c r="AN38" i="7"/>
  <c r="AN33" i="7"/>
  <c r="AN23" i="7"/>
  <c r="AO62" i="7"/>
  <c r="AO50" i="7"/>
  <c r="AO38" i="7"/>
  <c r="AO33" i="7"/>
  <c r="AO23" i="7"/>
  <c r="X62" i="7"/>
  <c r="X50" i="7"/>
  <c r="X38" i="7"/>
  <c r="X33" i="7"/>
  <c r="X23" i="7"/>
  <c r="Y62" i="7"/>
  <c r="Y50" i="7"/>
  <c r="Y38" i="7"/>
  <c r="Y33" i="7"/>
  <c r="Y23" i="7"/>
  <c r="H62" i="7"/>
  <c r="H50" i="7"/>
  <c r="H54" i="7" s="1"/>
  <c r="H33" i="7"/>
  <c r="H34" i="7" s="1"/>
  <c r="C5" i="19"/>
  <c r="E7" i="33"/>
  <c r="E6" i="33" s="1"/>
  <c r="E44" i="33"/>
  <c r="BQ41" i="7"/>
  <c r="CA41" i="7" s="1"/>
  <c r="CG41" i="7"/>
  <c r="DM19" i="7"/>
  <c r="EC19" i="7" s="1"/>
  <c r="DM29" i="7"/>
  <c r="DW29" i="7" s="1"/>
  <c r="CG28" i="7"/>
  <c r="CQ28" i="7" s="1"/>
  <c r="BQ29" i="7"/>
  <c r="CA29" i="7" s="1"/>
  <c r="E53" i="33"/>
  <c r="E48" i="33"/>
  <c r="E46" i="33" s="1"/>
  <c r="E46" i="19" s="1"/>
  <c r="F27" i="38"/>
  <c r="F29" i="38" s="1"/>
  <c r="E29" i="38"/>
  <c r="C29" i="38"/>
  <c r="EL43" i="7" l="1"/>
  <c r="EL53" i="7"/>
  <c r="EK58" i="7"/>
  <c r="E48" i="19"/>
  <c r="EF62" i="7"/>
  <c r="EK39" i="7"/>
  <c r="EM40" i="7"/>
  <c r="EL42" i="7"/>
  <c r="EM43" i="7"/>
  <c r="EK51" i="7"/>
  <c r="EL52" i="7"/>
  <c r="EM53" i="7"/>
  <c r="EK57" i="7"/>
  <c r="EL58" i="7"/>
  <c r="EM59" i="7"/>
  <c r="F63" i="7"/>
  <c r="EM48" i="7"/>
  <c r="EM55" i="7"/>
  <c r="EM61" i="7"/>
  <c r="CQ41" i="7"/>
  <c r="EG38" i="7"/>
  <c r="EK41" i="7"/>
  <c r="EM42" i="7"/>
  <c r="EK48" i="7"/>
  <c r="EL51" i="7"/>
  <c r="EM52" i="7"/>
  <c r="EK55" i="7"/>
  <c r="EL57" i="7"/>
  <c r="EM58" i="7"/>
  <c r="EK61" i="7"/>
  <c r="EF50" i="7"/>
  <c r="EK42" i="7"/>
  <c r="EK52" i="7"/>
  <c r="EL59" i="7"/>
  <c r="EF38" i="7"/>
  <c r="EK40" i="7"/>
  <c r="EK43" i="7"/>
  <c r="EL48" i="7"/>
  <c r="EM51" i="7"/>
  <c r="EK53" i="7"/>
  <c r="EL55" i="7"/>
  <c r="EM57" i="7"/>
  <c r="EK59" i="7"/>
  <c r="EL61" i="7"/>
  <c r="P66" i="33"/>
  <c r="EL5" i="7"/>
  <c r="EM6" i="7"/>
  <c r="EK12" i="7"/>
  <c r="EL19" i="7"/>
  <c r="EM20" i="7"/>
  <c r="EK22" i="7"/>
  <c r="EL24" i="7"/>
  <c r="EM26" i="7"/>
  <c r="EK28" i="7"/>
  <c r="EK31" i="7"/>
  <c r="EL32" i="7"/>
  <c r="EG23" i="7"/>
  <c r="EM5" i="7"/>
  <c r="EK11" i="7"/>
  <c r="EL12" i="7"/>
  <c r="EK21" i="7"/>
  <c r="EL22" i="7"/>
  <c r="EM24" i="7"/>
  <c r="EK27" i="7"/>
  <c r="EL31" i="7"/>
  <c r="EM32" i="7"/>
  <c r="EF23" i="7"/>
  <c r="EK6" i="7"/>
  <c r="EL11" i="7"/>
  <c r="EM12" i="7"/>
  <c r="EK20" i="7"/>
  <c r="EL21" i="7"/>
  <c r="EM22" i="7"/>
  <c r="EK26" i="7"/>
  <c r="EL27" i="7"/>
  <c r="EK29" i="7"/>
  <c r="EM31" i="7"/>
  <c r="EF33" i="7"/>
  <c r="EK5" i="7"/>
  <c r="EL6" i="7"/>
  <c r="EM11" i="7"/>
  <c r="EK19" i="7"/>
  <c r="EL20" i="7"/>
  <c r="EM21" i="7"/>
  <c r="EK24" i="7"/>
  <c r="EL26" i="7"/>
  <c r="EM27" i="7"/>
  <c r="EK32" i="7"/>
  <c r="E6" i="19"/>
  <c r="E41" i="13"/>
  <c r="J41" i="13"/>
  <c r="J42" i="13" s="1"/>
  <c r="C41" i="13"/>
  <c r="I41" i="13" s="1"/>
  <c r="E7" i="19"/>
  <c r="H63" i="7"/>
  <c r="Y54" i="7"/>
  <c r="Y63" i="7" s="1"/>
  <c r="CK54" i="7"/>
  <c r="CK63" i="7" s="1"/>
  <c r="AO54" i="7"/>
  <c r="AO63" i="7" s="1"/>
  <c r="BU54" i="7"/>
  <c r="BU63" i="7" s="1"/>
  <c r="DQ34" i="7"/>
  <c r="DP34" i="7"/>
  <c r="DP54" i="7"/>
  <c r="DP63" i="7" s="1"/>
  <c r="DW19" i="7"/>
  <c r="EM19" i="7" s="1"/>
  <c r="E19" i="19"/>
  <c r="AN54" i="7"/>
  <c r="AN63" i="7" s="1"/>
  <c r="BT54" i="7"/>
  <c r="BT63" i="7" s="1"/>
  <c r="CJ34" i="7"/>
  <c r="CZ54" i="7"/>
  <c r="CJ54" i="7"/>
  <c r="CJ63" i="7" s="1"/>
  <c r="CZ34" i="7"/>
  <c r="DQ54" i="7"/>
  <c r="DQ63" i="7" s="1"/>
  <c r="DA54" i="7"/>
  <c r="DA34" i="7"/>
  <c r="CK34" i="7"/>
  <c r="BU34" i="7"/>
  <c r="BT34" i="7"/>
  <c r="BE34" i="7"/>
  <c r="BE54" i="7"/>
  <c r="BE63" i="7" s="1"/>
  <c r="BD34" i="7"/>
  <c r="BD54" i="7"/>
  <c r="BD63" i="7" s="1"/>
  <c r="AO34" i="7"/>
  <c r="AN34" i="7"/>
  <c r="Y34" i="7"/>
  <c r="X54" i="7"/>
  <c r="X63" i="7" s="1"/>
  <c r="X34" i="7"/>
  <c r="F30" i="38"/>
  <c r="D39" i="38"/>
  <c r="E39" i="38"/>
  <c r="F39" i="38"/>
  <c r="C39" i="38"/>
  <c r="D29" i="38"/>
  <c r="D30" i="38" s="1"/>
  <c r="M47" i="33"/>
  <c r="M47" i="19" s="1"/>
  <c r="L48" i="33"/>
  <c r="L48" i="19" s="1"/>
  <c r="K48" i="33"/>
  <c r="K48" i="19" s="1"/>
  <c r="I48" i="33"/>
  <c r="I48" i="19" s="1"/>
  <c r="H48" i="33"/>
  <c r="H48" i="19" s="1"/>
  <c r="G48" i="33"/>
  <c r="G48" i="19" s="1"/>
  <c r="F48" i="19"/>
  <c r="D48" i="33"/>
  <c r="D48" i="19" s="1"/>
  <c r="C48" i="33"/>
  <c r="C48" i="19" s="1"/>
  <c r="CZ63" i="7" l="1"/>
  <c r="EF63" i="7" s="1"/>
  <c r="EF54" i="7"/>
  <c r="F67" i="7"/>
  <c r="J48" i="19"/>
  <c r="P48" i="33"/>
  <c r="P48" i="19" s="1"/>
  <c r="EF34" i="7"/>
  <c r="DA63" i="7"/>
  <c r="M48" i="33"/>
  <c r="M48" i="19" s="1"/>
  <c r="N48" i="33"/>
  <c r="N48" i="19" s="1"/>
  <c r="O48" i="33"/>
  <c r="O48" i="19" s="1"/>
  <c r="E18" i="33" l="1"/>
  <c r="E18" i="19" s="1"/>
  <c r="E17" i="33"/>
  <c r="E17" i="19" s="1"/>
  <c r="D53" i="33"/>
  <c r="D46" i="33"/>
  <c r="D46" i="19" s="1"/>
  <c r="C33" i="33"/>
  <c r="C15" i="33"/>
  <c r="C12" i="33"/>
  <c r="C12" i="19" s="1"/>
  <c r="M5" i="33"/>
  <c r="M5" i="19" s="1"/>
  <c r="H12" i="33"/>
  <c r="H12" i="19" s="1"/>
  <c r="O64" i="33"/>
  <c r="O64" i="19" s="1"/>
  <c r="N64" i="33"/>
  <c r="N64" i="19" s="1"/>
  <c r="M64" i="33"/>
  <c r="M64" i="19" s="1"/>
  <c r="O63" i="33"/>
  <c r="O63" i="19" s="1"/>
  <c r="N63" i="33"/>
  <c r="N63" i="19" s="1"/>
  <c r="M63" i="33"/>
  <c r="M63" i="19" s="1"/>
  <c r="N62" i="33"/>
  <c r="N62" i="19" s="1"/>
  <c r="N67" i="19" s="1"/>
  <c r="M62" i="33"/>
  <c r="M62" i="19" s="1"/>
  <c r="M67" i="19" s="1"/>
  <c r="N61" i="33"/>
  <c r="N61" i="19" s="1"/>
  <c r="M61" i="33"/>
  <c r="M61" i="19" s="1"/>
  <c r="O60" i="33"/>
  <c r="O60" i="19" s="1"/>
  <c r="N60" i="33"/>
  <c r="N60" i="19" s="1"/>
  <c r="M60" i="33"/>
  <c r="M60" i="19" s="1"/>
  <c r="O59" i="33"/>
  <c r="O59" i="19" s="1"/>
  <c r="N59" i="33"/>
  <c r="N59" i="19" s="1"/>
  <c r="M59" i="33"/>
  <c r="M59" i="19" s="1"/>
  <c r="O58" i="33"/>
  <c r="O58" i="19" s="1"/>
  <c r="N58" i="33"/>
  <c r="N58" i="19" s="1"/>
  <c r="M58" i="33"/>
  <c r="M58" i="19" s="1"/>
  <c r="O56" i="33"/>
  <c r="O56" i="19" s="1"/>
  <c r="N56" i="33"/>
  <c r="N56" i="19" s="1"/>
  <c r="M56" i="33"/>
  <c r="M56" i="19" s="1"/>
  <c r="O55" i="33"/>
  <c r="O55" i="19" s="1"/>
  <c r="N55" i="33"/>
  <c r="N55" i="19" s="1"/>
  <c r="M55" i="33"/>
  <c r="M55" i="19" s="1"/>
  <c r="O54" i="33"/>
  <c r="O54" i="19" s="1"/>
  <c r="N54" i="33"/>
  <c r="N54" i="19" s="1"/>
  <c r="M54" i="33"/>
  <c r="M54" i="19" s="1"/>
  <c r="O52" i="33"/>
  <c r="O52" i="19" s="1"/>
  <c r="N52" i="33"/>
  <c r="N52" i="19" s="1"/>
  <c r="M52" i="33"/>
  <c r="M52" i="19" s="1"/>
  <c r="N51" i="33"/>
  <c r="N51" i="19" s="1"/>
  <c r="M51" i="33"/>
  <c r="M51" i="19" s="1"/>
  <c r="O50" i="33"/>
  <c r="O50" i="19" s="1"/>
  <c r="N50" i="33"/>
  <c r="N50" i="19" s="1"/>
  <c r="M50" i="33"/>
  <c r="M50" i="19" s="1"/>
  <c r="O49" i="33"/>
  <c r="O49" i="19" s="1"/>
  <c r="N49" i="33"/>
  <c r="N49" i="19" s="1"/>
  <c r="M49" i="33"/>
  <c r="M49" i="19" s="1"/>
  <c r="O47" i="33"/>
  <c r="O47" i="19" s="1"/>
  <c r="N47" i="33"/>
  <c r="N47" i="19" s="1"/>
  <c r="O45" i="33"/>
  <c r="O45" i="19" s="1"/>
  <c r="N45" i="33"/>
  <c r="N45" i="19" s="1"/>
  <c r="M45" i="33"/>
  <c r="M45" i="19" s="1"/>
  <c r="N44" i="33"/>
  <c r="M44" i="33"/>
  <c r="M44" i="19" s="1"/>
  <c r="O43" i="33"/>
  <c r="O43" i="19" s="1"/>
  <c r="M43" i="33"/>
  <c r="M43" i="19" s="1"/>
  <c r="O42" i="33"/>
  <c r="M42" i="33"/>
  <c r="M42" i="19" s="1"/>
  <c r="O32" i="33"/>
  <c r="O32" i="19" s="1"/>
  <c r="N32" i="33"/>
  <c r="N32" i="19" s="1"/>
  <c r="M32" i="33"/>
  <c r="M32" i="19" s="1"/>
  <c r="O31" i="33"/>
  <c r="O31" i="19" s="1"/>
  <c r="C32" i="34" s="1"/>
  <c r="N31" i="33"/>
  <c r="N31" i="19" s="1"/>
  <c r="M31" i="33"/>
  <c r="M31" i="19" s="1"/>
  <c r="O30" i="33"/>
  <c r="O30" i="19" s="1"/>
  <c r="C31" i="34" s="1"/>
  <c r="N30" i="33"/>
  <c r="N30" i="19" s="1"/>
  <c r="M30" i="33"/>
  <c r="M30" i="19" s="1"/>
  <c r="O29" i="33"/>
  <c r="N29" i="33"/>
  <c r="M29" i="33"/>
  <c r="M29" i="19" s="1"/>
  <c r="O28" i="33"/>
  <c r="N28" i="33"/>
  <c r="M28" i="33"/>
  <c r="M28" i="19" s="1"/>
  <c r="M35" i="19" s="1"/>
  <c r="O27" i="33"/>
  <c r="O27" i="19" s="1"/>
  <c r="C27" i="34" s="1"/>
  <c r="N27" i="33"/>
  <c r="N27" i="19" s="1"/>
  <c r="M27" i="33"/>
  <c r="M27" i="19" s="1"/>
  <c r="O26" i="33"/>
  <c r="O26" i="19" s="1"/>
  <c r="C26" i="34" s="1"/>
  <c r="N26" i="33"/>
  <c r="N26" i="19" s="1"/>
  <c r="M26" i="33"/>
  <c r="M26" i="19" s="1"/>
  <c r="O25" i="33"/>
  <c r="O25" i="19" s="1"/>
  <c r="C25" i="34" s="1"/>
  <c r="N25" i="33"/>
  <c r="N25" i="19" s="1"/>
  <c r="M25" i="33"/>
  <c r="M25" i="19" s="1"/>
  <c r="O24" i="33"/>
  <c r="O24" i="19" s="1"/>
  <c r="C24" i="34" s="1"/>
  <c r="M24" i="33"/>
  <c r="M24" i="19" s="1"/>
  <c r="O22" i="33"/>
  <c r="O22" i="19" s="1"/>
  <c r="C22" i="34" s="1"/>
  <c r="N22" i="33"/>
  <c r="N22" i="19" s="1"/>
  <c r="M22" i="33"/>
  <c r="M22" i="19" s="1"/>
  <c r="O21" i="33"/>
  <c r="O21" i="19" s="1"/>
  <c r="C21" i="34" s="1"/>
  <c r="N21" i="33"/>
  <c r="N21" i="19" s="1"/>
  <c r="M21" i="33"/>
  <c r="M21" i="19" s="1"/>
  <c r="O20" i="33"/>
  <c r="O20" i="19" s="1"/>
  <c r="C20" i="34" s="1"/>
  <c r="N20" i="33"/>
  <c r="N20" i="19" s="1"/>
  <c r="M20" i="33"/>
  <c r="M20" i="19" s="1"/>
  <c r="M19" i="33"/>
  <c r="M19" i="19" s="1"/>
  <c r="M18" i="33"/>
  <c r="M18" i="19" s="1"/>
  <c r="O16" i="33"/>
  <c r="O16" i="19" s="1"/>
  <c r="C16" i="34" s="1"/>
  <c r="N16" i="33"/>
  <c r="N16" i="19" s="1"/>
  <c r="M16" i="33"/>
  <c r="M16" i="19" s="1"/>
  <c r="M17" i="33"/>
  <c r="M17" i="19" s="1"/>
  <c r="M14" i="33"/>
  <c r="M14" i="19" s="1"/>
  <c r="M13" i="33"/>
  <c r="M13" i="19" s="1"/>
  <c r="O11" i="19"/>
  <c r="C11" i="34" s="1"/>
  <c r="N11" i="33"/>
  <c r="N11" i="19" s="1"/>
  <c r="M11" i="33"/>
  <c r="M11" i="19" s="1"/>
  <c r="M10" i="33"/>
  <c r="M10" i="19" s="1"/>
  <c r="O9" i="19"/>
  <c r="C9" i="34" s="1"/>
  <c r="N9" i="19"/>
  <c r="M9" i="19"/>
  <c r="O8" i="33"/>
  <c r="O8" i="19" s="1"/>
  <c r="C8" i="34" s="1"/>
  <c r="N8" i="33"/>
  <c r="N8" i="19" s="1"/>
  <c r="M8" i="19"/>
  <c r="O5" i="33"/>
  <c r="N5" i="33"/>
  <c r="N5" i="19" s="1"/>
  <c r="I53" i="33"/>
  <c r="I46" i="33"/>
  <c r="I33" i="33"/>
  <c r="C5" i="34" l="1"/>
  <c r="O5" i="19"/>
  <c r="I41" i="33"/>
  <c r="I41" i="19" s="1"/>
  <c r="I46" i="19"/>
  <c r="O53" i="33"/>
  <c r="O7" i="33"/>
  <c r="O7" i="19" s="1"/>
  <c r="C7" i="34" s="1"/>
  <c r="I7" i="19"/>
  <c r="M15" i="33"/>
  <c r="M15" i="19" s="1"/>
  <c r="C15" i="19"/>
  <c r="O46" i="33"/>
  <c r="O46" i="19" s="1"/>
  <c r="I57" i="33"/>
  <c r="I12" i="33"/>
  <c r="I23" i="33" s="1"/>
  <c r="I66" i="33" l="1"/>
  <c r="I12" i="19"/>
  <c r="O44" i="33"/>
  <c r="D24" i="33"/>
  <c r="D19" i="33"/>
  <c r="D19" i="19" s="1"/>
  <c r="D18" i="33"/>
  <c r="D18" i="19" s="1"/>
  <c r="D17" i="33"/>
  <c r="D17" i="19" s="1"/>
  <c r="D14" i="33"/>
  <c r="D13" i="33"/>
  <c r="D13" i="19" s="1"/>
  <c r="N14" i="33" l="1"/>
  <c r="N14" i="19" s="1"/>
  <c r="D14" i="19"/>
  <c r="N24" i="33"/>
  <c r="N24" i="19" s="1"/>
  <c r="D24" i="19"/>
  <c r="I34" i="33"/>
  <c r="I23" i="19"/>
  <c r="N13" i="33"/>
  <c r="N13" i="19" s="1"/>
  <c r="E13" i="33"/>
  <c r="E13" i="19" s="1"/>
  <c r="N18" i="33"/>
  <c r="N18" i="19" s="1"/>
  <c r="O18" i="33"/>
  <c r="O18" i="19" s="1"/>
  <c r="C18" i="34" s="1"/>
  <c r="E14" i="33"/>
  <c r="N17" i="33"/>
  <c r="N17" i="19" s="1"/>
  <c r="O17" i="33"/>
  <c r="O17" i="19" s="1"/>
  <c r="C17" i="34" s="1"/>
  <c r="O19" i="33"/>
  <c r="O19" i="19" s="1"/>
  <c r="C19" i="34" s="1"/>
  <c r="N19" i="33"/>
  <c r="N19" i="19" s="1"/>
  <c r="D43" i="33"/>
  <c r="D42" i="33"/>
  <c r="D33" i="33"/>
  <c r="D10" i="33"/>
  <c r="D10" i="19" s="1"/>
  <c r="E33" i="33"/>
  <c r="E10" i="33"/>
  <c r="E10" i="19" s="1"/>
  <c r="AK28" i="7"/>
  <c r="AU28" i="7" s="1"/>
  <c r="AK50" i="7"/>
  <c r="DM50" i="7"/>
  <c r="DL62" i="7"/>
  <c r="DL50" i="7"/>
  <c r="DL41" i="7"/>
  <c r="DV41" i="7" s="1"/>
  <c r="DL40" i="7"/>
  <c r="EB40" i="7" s="1"/>
  <c r="DL39" i="7"/>
  <c r="DL29" i="7"/>
  <c r="DL23" i="7"/>
  <c r="O14" i="33" l="1"/>
  <c r="O14" i="19" s="1"/>
  <c r="C14" i="34" s="1"/>
  <c r="E14" i="19"/>
  <c r="O33" i="33"/>
  <c r="DL28" i="7"/>
  <c r="DV29" i="7"/>
  <c r="D43" i="19"/>
  <c r="DV40" i="7"/>
  <c r="DL38" i="7"/>
  <c r="DL54" i="7" s="1"/>
  <c r="DV39" i="7"/>
  <c r="O13" i="33"/>
  <c r="O13" i="19" s="1"/>
  <c r="C13" i="34" s="1"/>
  <c r="O6" i="33"/>
  <c r="O6" i="19" s="1"/>
  <c r="C6" i="34" s="1"/>
  <c r="O10" i="33"/>
  <c r="O10" i="19" s="1"/>
  <c r="C10" i="34" s="1"/>
  <c r="D41" i="33"/>
  <c r="N42" i="33"/>
  <c r="D6" i="33"/>
  <c r="N10" i="33"/>
  <c r="N10" i="19" s="1"/>
  <c r="D57" i="33"/>
  <c r="N43" i="33"/>
  <c r="D34" i="33"/>
  <c r="DM62" i="7"/>
  <c r="DM38" i="7"/>
  <c r="DM28" i="7"/>
  <c r="DW28" i="7" s="1"/>
  <c r="DM23" i="7"/>
  <c r="CW28" i="7"/>
  <c r="CW39" i="7"/>
  <c r="EC39" i="7" s="1"/>
  <c r="CV62" i="7"/>
  <c r="CV50" i="7"/>
  <c r="CV41" i="7"/>
  <c r="CV33" i="7"/>
  <c r="CV23" i="7"/>
  <c r="CW62" i="7"/>
  <c r="CW50" i="7"/>
  <c r="CW23" i="7"/>
  <c r="CG29" i="7"/>
  <c r="CQ29" i="7" s="1"/>
  <c r="CG50" i="7"/>
  <c r="CF62" i="7"/>
  <c r="CF50" i="7"/>
  <c r="CF41" i="7"/>
  <c r="CF33" i="7"/>
  <c r="CF23" i="7"/>
  <c r="CG62" i="7"/>
  <c r="CG38" i="7"/>
  <c r="CG33" i="7"/>
  <c r="CG23" i="7"/>
  <c r="BQ28" i="7"/>
  <c r="CA28" i="7" s="1"/>
  <c r="BA29" i="7"/>
  <c r="BK29" i="7" s="1"/>
  <c r="N43" i="19" l="1"/>
  <c r="EL40" i="7"/>
  <c r="CW33" i="7"/>
  <c r="D66" i="33"/>
  <c r="N6" i="33"/>
  <c r="N6" i="19" s="1"/>
  <c r="D6" i="19"/>
  <c r="CW29" i="7"/>
  <c r="DG28" i="7"/>
  <c r="DL63" i="7"/>
  <c r="DL33" i="7"/>
  <c r="DV28" i="7"/>
  <c r="CG54" i="7"/>
  <c r="CG63" i="7" s="1"/>
  <c r="CF38" i="7"/>
  <c r="CF54" i="7" s="1"/>
  <c r="CF63" i="7" s="1"/>
  <c r="CP41" i="7"/>
  <c r="DF41" i="7"/>
  <c r="E42" i="19"/>
  <c r="DG39" i="7"/>
  <c r="CW38" i="7"/>
  <c r="DM54" i="7"/>
  <c r="CF34" i="7"/>
  <c r="CV38" i="7"/>
  <c r="DM33" i="7"/>
  <c r="CV34" i="7"/>
  <c r="CG34" i="7"/>
  <c r="BP23" i="7"/>
  <c r="BQ23" i="7"/>
  <c r="BO23" i="7"/>
  <c r="BP62" i="7"/>
  <c r="BP50" i="7"/>
  <c r="BZ50" i="7" s="1"/>
  <c r="BP41" i="7"/>
  <c r="BP33" i="7"/>
  <c r="BA28" i="7"/>
  <c r="BK28" i="7" s="1"/>
  <c r="U28" i="7"/>
  <c r="AE28" i="7" s="1"/>
  <c r="U41" i="7"/>
  <c r="EC41" i="7" s="1"/>
  <c r="U50" i="7"/>
  <c r="E29" i="7"/>
  <c r="O29" i="7" s="1"/>
  <c r="O42" i="19" l="1"/>
  <c r="EM39" i="7"/>
  <c r="DL34" i="7"/>
  <c r="BP38" i="7"/>
  <c r="BZ41" i="7"/>
  <c r="CW54" i="7"/>
  <c r="DG29" i="7"/>
  <c r="CW34" i="7"/>
  <c r="E28" i="7"/>
  <c r="EC28" i="7" s="1"/>
  <c r="AE41" i="7"/>
  <c r="E44" i="19"/>
  <c r="DM63" i="7"/>
  <c r="CV54" i="7"/>
  <c r="DM34" i="7"/>
  <c r="CG65" i="7"/>
  <c r="BP34" i="7"/>
  <c r="O44" i="19" l="1"/>
  <c r="EM41" i="7"/>
  <c r="O28" i="7"/>
  <c r="CW63" i="7"/>
  <c r="BP54" i="7"/>
  <c r="E28" i="19"/>
  <c r="E35" i="19" s="1"/>
  <c r="DM65" i="7"/>
  <c r="CV63" i="7"/>
  <c r="BA38" i="7"/>
  <c r="BA50" i="7"/>
  <c r="BA62" i="7"/>
  <c r="BA33" i="7"/>
  <c r="BA23" i="7"/>
  <c r="AK29" i="7"/>
  <c r="W62" i="7"/>
  <c r="W50" i="7"/>
  <c r="W54" i="7" s="1"/>
  <c r="W33" i="7"/>
  <c r="W34" i="7" s="1"/>
  <c r="AJ62" i="7"/>
  <c r="AJ50" i="7"/>
  <c r="AJ41" i="7"/>
  <c r="AJ33" i="7"/>
  <c r="AJ23" i="7"/>
  <c r="O28" i="19" l="1"/>
  <c r="EM28" i="7"/>
  <c r="BP63" i="7"/>
  <c r="CW65" i="7"/>
  <c r="AJ34" i="7"/>
  <c r="AU29" i="7"/>
  <c r="AJ38" i="7"/>
  <c r="AJ54" i="7" s="1"/>
  <c r="AT41" i="7"/>
  <c r="CV65" i="7"/>
  <c r="BA34" i="7"/>
  <c r="BA54" i="7"/>
  <c r="W63" i="7"/>
  <c r="T62" i="7"/>
  <c r="T50" i="7"/>
  <c r="T41" i="7"/>
  <c r="T33" i="7"/>
  <c r="T23" i="7"/>
  <c r="D62" i="7"/>
  <c r="D50" i="7"/>
  <c r="D41" i="7"/>
  <c r="N41" i="7" s="1"/>
  <c r="D39" i="7"/>
  <c r="D29" i="7"/>
  <c r="D23" i="7"/>
  <c r="C28" i="34" l="1"/>
  <c r="O35" i="19"/>
  <c r="N39" i="7"/>
  <c r="EL39" i="7" s="1"/>
  <c r="EB39" i="7"/>
  <c r="N29" i="7"/>
  <c r="EB29" i="7"/>
  <c r="D29" i="19" s="1"/>
  <c r="AJ63" i="7"/>
  <c r="T38" i="7"/>
  <c r="AD41" i="7"/>
  <c r="D42" i="19"/>
  <c r="N42" i="19"/>
  <c r="D28" i="7"/>
  <c r="BA63" i="7"/>
  <c r="T54" i="7"/>
  <c r="D38" i="7"/>
  <c r="T34" i="7"/>
  <c r="N28" i="7" l="1"/>
  <c r="EB28" i="7"/>
  <c r="D28" i="19" s="1"/>
  <c r="D35" i="19" s="1"/>
  <c r="EL29" i="7"/>
  <c r="N29" i="19" s="1"/>
  <c r="D54" i="7"/>
  <c r="D63" i="7" s="1"/>
  <c r="T63" i="7"/>
  <c r="D33" i="7"/>
  <c r="BA65" i="7"/>
  <c r="U38" i="7"/>
  <c r="E33" i="7"/>
  <c r="E23" i="7"/>
  <c r="EN28" i="7" l="1"/>
  <c r="P28" i="19" s="1"/>
  <c r="P35" i="19" s="1"/>
  <c r="EL28" i="7"/>
  <c r="N28" i="19" s="1"/>
  <c r="N35" i="19" s="1"/>
  <c r="E34" i="7"/>
  <c r="D34" i="7"/>
  <c r="U29" i="7"/>
  <c r="EC29" i="7" s="1"/>
  <c r="E50" i="7"/>
  <c r="AE29" i="7" l="1"/>
  <c r="E29" i="19"/>
  <c r="H15" i="33"/>
  <c r="H15" i="19" s="1"/>
  <c r="EM29" i="7" l="1"/>
  <c r="O29" i="19" s="1"/>
  <c r="C29" i="34" s="1"/>
  <c r="D15" i="33"/>
  <c r="D15" i="19" s="1"/>
  <c r="I15" i="33"/>
  <c r="E15" i="33" l="1"/>
  <c r="E15" i="19" s="1"/>
  <c r="I15" i="19"/>
  <c r="O15" i="33"/>
  <c r="O15" i="19" s="1"/>
  <c r="C15" i="34" s="1"/>
  <c r="E12" i="33"/>
  <c r="E12" i="19" s="1"/>
  <c r="N15" i="33"/>
  <c r="N15" i="19" s="1"/>
  <c r="D12" i="33"/>
  <c r="N12" i="33" l="1"/>
  <c r="N12" i="19" s="1"/>
  <c r="D12" i="19"/>
  <c r="O12" i="33"/>
  <c r="O12" i="19" s="1"/>
  <c r="C12" i="34" s="1"/>
  <c r="E23" i="33"/>
  <c r="D15" i="11"/>
  <c r="D24" i="11" s="1"/>
  <c r="O23" i="33" l="1"/>
  <c r="E34" i="33"/>
  <c r="E24" i="11"/>
  <c r="E51" i="33" s="1"/>
  <c r="N13" i="42"/>
  <c r="N22" i="42" s="1"/>
  <c r="M13" i="42"/>
  <c r="M22" i="42" s="1"/>
  <c r="L13" i="42"/>
  <c r="L22" i="42" s="1"/>
  <c r="O21" i="42"/>
  <c r="O20" i="42"/>
  <c r="O19" i="42"/>
  <c r="O18" i="42"/>
  <c r="O17" i="42"/>
  <c r="O15" i="42"/>
  <c r="O14" i="42"/>
  <c r="O12" i="42"/>
  <c r="O11" i="42"/>
  <c r="O10" i="42"/>
  <c r="O9" i="42"/>
  <c r="O8" i="42"/>
  <c r="O7" i="42"/>
  <c r="J15" i="42"/>
  <c r="J16" i="42"/>
  <c r="K16" i="42" s="1"/>
  <c r="J17" i="42"/>
  <c r="J18" i="42"/>
  <c r="J19" i="42"/>
  <c r="J20" i="42"/>
  <c r="J21" i="42"/>
  <c r="J14" i="42"/>
  <c r="I13" i="42"/>
  <c r="H13" i="42"/>
  <c r="G13" i="42"/>
  <c r="F13" i="42"/>
  <c r="E13" i="42"/>
  <c r="D13" i="42"/>
  <c r="J12" i="42"/>
  <c r="J11" i="42"/>
  <c r="I10" i="42"/>
  <c r="H10" i="42"/>
  <c r="G10" i="42"/>
  <c r="F10" i="42"/>
  <c r="E10" i="42"/>
  <c r="D10" i="42"/>
  <c r="J9" i="42"/>
  <c r="J8" i="42"/>
  <c r="I7" i="42"/>
  <c r="H7" i="42"/>
  <c r="G7" i="42"/>
  <c r="G22" i="42" s="1"/>
  <c r="F7" i="42"/>
  <c r="E7" i="42"/>
  <c r="D7" i="42"/>
  <c r="E51" i="19" l="1"/>
  <c r="E41" i="33"/>
  <c r="O51" i="33"/>
  <c r="O51" i="19" s="1"/>
  <c r="I38" i="33"/>
  <c r="O34" i="33"/>
  <c r="K13" i="42"/>
  <c r="O16" i="42"/>
  <c r="J7" i="42"/>
  <c r="H22" i="42"/>
  <c r="I22" i="42"/>
  <c r="J10" i="42"/>
  <c r="E22" i="42"/>
  <c r="D22" i="42"/>
  <c r="J13" i="42"/>
  <c r="F22" i="42"/>
  <c r="Q23" i="19"/>
  <c r="R23" i="19"/>
  <c r="Q33" i="19"/>
  <c r="R33" i="19"/>
  <c r="R41" i="19"/>
  <c r="R57" i="19" s="1"/>
  <c r="R66" i="19" s="1"/>
  <c r="R69" i="19" s="1"/>
  <c r="Q46" i="19"/>
  <c r="Q41" i="19" s="1"/>
  <c r="Q53" i="19"/>
  <c r="Q65" i="19"/>
  <c r="O13" i="42" l="1"/>
  <c r="O22" i="42" s="1"/>
  <c r="K22" i="42"/>
  <c r="E57" i="33"/>
  <c r="O41" i="33"/>
  <c r="Q57" i="19"/>
  <c r="Q66" i="19"/>
  <c r="Q69" i="19" s="1"/>
  <c r="R34" i="19"/>
  <c r="R37" i="19" s="1"/>
  <c r="R70" i="19" s="1"/>
  <c r="Q34" i="19"/>
  <c r="Q37" i="19" s="1"/>
  <c r="J22" i="42"/>
  <c r="Q70" i="19" l="1"/>
  <c r="O57" i="33"/>
  <c r="AZ41" i="7" l="1"/>
  <c r="EB41" i="7" s="1"/>
  <c r="BJ41" i="7" l="1"/>
  <c r="D44" i="19"/>
  <c r="C46" i="33"/>
  <c r="C46" i="19" s="1"/>
  <c r="J27" i="13"/>
  <c r="J15" i="13"/>
  <c r="J14" i="13"/>
  <c r="J13" i="13"/>
  <c r="J12" i="13"/>
  <c r="J11" i="13"/>
  <c r="J10" i="13"/>
  <c r="J9" i="13"/>
  <c r="J8" i="13"/>
  <c r="J7" i="13"/>
  <c r="H18" i="13"/>
  <c r="EL41" i="7" l="1"/>
  <c r="N44" i="19" s="1"/>
  <c r="J18" i="13"/>
  <c r="D28" i="40"/>
  <c r="E28" i="40"/>
  <c r="F28" i="40"/>
  <c r="C28" i="40"/>
  <c r="C29" i="40" s="1"/>
  <c r="I29" i="40"/>
  <c r="G25" i="40"/>
  <c r="G26" i="40" s="1"/>
  <c r="L7" i="40"/>
  <c r="J6" i="40"/>
  <c r="I6" i="40"/>
  <c r="I12" i="40" s="1"/>
  <c r="H6" i="40"/>
  <c r="D27" i="40" s="1"/>
  <c r="G6" i="40"/>
  <c r="G12" i="40" s="1"/>
  <c r="D6" i="40"/>
  <c r="K29" i="40"/>
  <c r="J25" i="40"/>
  <c r="J26" i="40" s="1"/>
  <c r="F25" i="40"/>
  <c r="F26" i="40" s="1"/>
  <c r="L24" i="40"/>
  <c r="K23" i="40"/>
  <c r="L23" i="40" s="1"/>
  <c r="L22" i="40"/>
  <c r="L21" i="40"/>
  <c r="K20" i="40"/>
  <c r="L20" i="40" s="1"/>
  <c r="L19" i="40"/>
  <c r="K18" i="40"/>
  <c r="K25" i="40" s="1"/>
  <c r="K26" i="40" s="1"/>
  <c r="I25" i="40"/>
  <c r="I26" i="40" s="1"/>
  <c r="H25" i="40"/>
  <c r="H26" i="40" s="1"/>
  <c r="E25" i="40"/>
  <c r="E26" i="40" s="1"/>
  <c r="D25" i="40"/>
  <c r="D26" i="40" s="1"/>
  <c r="L9" i="40"/>
  <c r="L8" i="40"/>
  <c r="K30" i="40" l="1"/>
  <c r="J12" i="40"/>
  <c r="J29" i="40"/>
  <c r="J30" i="40" s="1"/>
  <c r="I30" i="40"/>
  <c r="H29" i="40"/>
  <c r="H30" i="40" s="1"/>
  <c r="G29" i="40"/>
  <c r="G30" i="40" s="1"/>
  <c r="L28" i="40"/>
  <c r="L18" i="40"/>
  <c r="D29" i="40"/>
  <c r="D30" i="40" s="1"/>
  <c r="F27" i="40"/>
  <c r="F29" i="40" s="1"/>
  <c r="F30" i="40" s="1"/>
  <c r="H12" i="40"/>
  <c r="L6" i="40"/>
  <c r="K12" i="40"/>
  <c r="E27" i="40"/>
  <c r="E29" i="40" s="1"/>
  <c r="C25" i="40"/>
  <c r="L12" i="40" l="1"/>
  <c r="L29" i="40"/>
  <c r="L27" i="40"/>
  <c r="C26" i="40"/>
  <c r="L25" i="40"/>
  <c r="E30" i="40"/>
  <c r="C30" i="40" l="1"/>
  <c r="L30" i="40" s="1"/>
  <c r="L26" i="40"/>
  <c r="DK38" i="7" l="1"/>
  <c r="CU50" i="7"/>
  <c r="AI50" i="7"/>
  <c r="S50" i="7"/>
  <c r="C50" i="7"/>
  <c r="M12" i="33"/>
  <c r="M12" i="19" s="1"/>
  <c r="H23" i="33"/>
  <c r="H23" i="19" s="1"/>
  <c r="H33" i="33"/>
  <c r="C53" i="33"/>
  <c r="C7" i="33"/>
  <c r="C7" i="19" s="1"/>
  <c r="H53" i="33"/>
  <c r="H53" i="19" s="1"/>
  <c r="H46" i="33"/>
  <c r="C41" i="33"/>
  <c r="H41" i="33" l="1"/>
  <c r="H46" i="19"/>
  <c r="H65" i="19"/>
  <c r="N65" i="33"/>
  <c r="N33" i="33"/>
  <c r="H33" i="19"/>
  <c r="N46" i="33"/>
  <c r="N46" i="19" s="1"/>
  <c r="N53" i="33"/>
  <c r="N7" i="33"/>
  <c r="N7" i="19" s="1"/>
  <c r="H7" i="19"/>
  <c r="C57" i="33"/>
  <c r="C6" i="33"/>
  <c r="C6" i="19" s="1"/>
  <c r="H34" i="33"/>
  <c r="H34" i="19" s="1"/>
  <c r="H37" i="19" s="1"/>
  <c r="N23" i="33"/>
  <c r="H57" i="33"/>
  <c r="H57" i="19" s="1"/>
  <c r="DT38" i="7"/>
  <c r="DT50" i="7"/>
  <c r="DT62" i="7"/>
  <c r="DR38" i="7"/>
  <c r="DX38" i="7" s="1"/>
  <c r="DR50" i="7"/>
  <c r="DR62" i="7"/>
  <c r="DT23" i="7"/>
  <c r="DT33" i="7"/>
  <c r="DR23" i="7"/>
  <c r="DR33" i="7"/>
  <c r="DD38" i="7"/>
  <c r="DD50" i="7"/>
  <c r="DD62" i="7"/>
  <c r="DB38" i="7"/>
  <c r="DB50" i="7"/>
  <c r="DB62" i="7"/>
  <c r="DD23" i="7"/>
  <c r="DD33" i="7"/>
  <c r="DB23" i="7"/>
  <c r="DB33" i="7"/>
  <c r="CN38" i="7"/>
  <c r="CN50" i="7"/>
  <c r="CN62" i="7"/>
  <c r="CL38" i="7"/>
  <c r="CR38" i="7" s="1"/>
  <c r="CL50" i="7"/>
  <c r="CL62" i="7"/>
  <c r="CN23" i="7"/>
  <c r="CN33" i="7"/>
  <c r="CL23" i="7"/>
  <c r="CL33" i="7"/>
  <c r="BX23" i="7"/>
  <c r="BX33" i="7"/>
  <c r="BZ33" i="7" s="1"/>
  <c r="BV23" i="7"/>
  <c r="BV33" i="7"/>
  <c r="BQ33" i="7"/>
  <c r="E31" i="38"/>
  <c r="BX38" i="7"/>
  <c r="BX62" i="7"/>
  <c r="BZ62" i="7" s="1"/>
  <c r="BV38" i="7"/>
  <c r="BV50" i="7"/>
  <c r="CB50" i="7" s="1"/>
  <c r="BV62" i="7"/>
  <c r="BQ38" i="7"/>
  <c r="BQ50" i="7"/>
  <c r="EC50" i="7" s="1"/>
  <c r="BQ62" i="7"/>
  <c r="BH38" i="7"/>
  <c r="BK38" i="7" s="1"/>
  <c r="BH50" i="7"/>
  <c r="BK50" i="7" s="1"/>
  <c r="BH62" i="7"/>
  <c r="BK62" i="7" s="1"/>
  <c r="BF38" i="7"/>
  <c r="BF50" i="7"/>
  <c r="BF62" i="7"/>
  <c r="AZ38" i="7"/>
  <c r="EB38" i="7" s="1"/>
  <c r="AZ50" i="7"/>
  <c r="EB50" i="7" s="1"/>
  <c r="AZ62" i="7"/>
  <c r="EB62" i="7" s="1"/>
  <c r="BH23" i="7"/>
  <c r="BK23" i="7" s="1"/>
  <c r="BH33" i="7"/>
  <c r="BK33" i="7" s="1"/>
  <c r="BF23" i="7"/>
  <c r="BF33" i="7"/>
  <c r="AZ23" i="7"/>
  <c r="EB23" i="7" s="1"/>
  <c r="AZ33" i="7"/>
  <c r="EB33" i="7" s="1"/>
  <c r="AR38" i="7"/>
  <c r="AT38" i="7" s="1"/>
  <c r="AR50" i="7"/>
  <c r="AR62" i="7"/>
  <c r="AT62" i="7" s="1"/>
  <c r="AP38" i="7"/>
  <c r="AP50" i="7"/>
  <c r="AP62" i="7"/>
  <c r="AR23" i="7"/>
  <c r="AT23" i="7" s="1"/>
  <c r="AR33" i="7"/>
  <c r="AT33" i="7" s="1"/>
  <c r="AP23" i="7"/>
  <c r="AP33" i="7"/>
  <c r="AK23" i="7"/>
  <c r="AK33" i="7"/>
  <c r="AU33" i="7" s="1"/>
  <c r="AB38" i="7"/>
  <c r="AB50" i="7"/>
  <c r="AB62" i="7"/>
  <c r="AD62" i="7" s="1"/>
  <c r="AB23" i="7"/>
  <c r="AD23" i="7" s="1"/>
  <c r="AB33" i="7"/>
  <c r="AD33" i="7" s="1"/>
  <c r="Z23" i="7"/>
  <c r="Z33" i="7"/>
  <c r="U23" i="7"/>
  <c r="AE23" i="7" s="1"/>
  <c r="U33" i="7"/>
  <c r="AE33" i="7" s="1"/>
  <c r="L38" i="7"/>
  <c r="N38" i="7" s="1"/>
  <c r="L50" i="7"/>
  <c r="N50" i="7" s="1"/>
  <c r="L62" i="7"/>
  <c r="N62" i="7" s="1"/>
  <c r="I50" i="7"/>
  <c r="EG50" i="7" s="1"/>
  <c r="I62" i="7"/>
  <c r="E62" i="7"/>
  <c r="L23" i="7"/>
  <c r="N23" i="7" s="1"/>
  <c r="L33" i="7"/>
  <c r="N33" i="7" s="1"/>
  <c r="I33" i="7"/>
  <c r="EG33" i="7" s="1"/>
  <c r="Z38" i="7"/>
  <c r="Z50" i="7"/>
  <c r="Z62" i="7"/>
  <c r="U62" i="7"/>
  <c r="AK38" i="7"/>
  <c r="AK62" i="7"/>
  <c r="EC62" i="7" l="1"/>
  <c r="EJ50" i="7"/>
  <c r="AU62" i="7"/>
  <c r="AV38" i="7"/>
  <c r="EJ38" i="7"/>
  <c r="EC38" i="7"/>
  <c r="DH38" i="7"/>
  <c r="EG62" i="7"/>
  <c r="I65" i="19" s="1"/>
  <c r="BL50" i="7"/>
  <c r="CB62" i="7"/>
  <c r="EJ62" i="7"/>
  <c r="H41" i="19"/>
  <c r="N41" i="33"/>
  <c r="DH50" i="7"/>
  <c r="CB38" i="7"/>
  <c r="EC33" i="7"/>
  <c r="E33" i="19" s="1"/>
  <c r="CR33" i="7"/>
  <c r="CR62" i="7"/>
  <c r="EJ33" i="7"/>
  <c r="DX33" i="7"/>
  <c r="DX62" i="7"/>
  <c r="EC23" i="7"/>
  <c r="CR23" i="7"/>
  <c r="EJ23" i="7"/>
  <c r="L23" i="19" s="1"/>
  <c r="DX23" i="7"/>
  <c r="DX50" i="7"/>
  <c r="DH33" i="7"/>
  <c r="DH62" i="7"/>
  <c r="DH23" i="7"/>
  <c r="CR50" i="7"/>
  <c r="BL23" i="7"/>
  <c r="CB33" i="7"/>
  <c r="CB23" i="7"/>
  <c r="BL38" i="7"/>
  <c r="BL62" i="7"/>
  <c r="BL33" i="7"/>
  <c r="AV33" i="7"/>
  <c r="AV62" i="7"/>
  <c r="AV23" i="7"/>
  <c r="AV50" i="7"/>
  <c r="AE62" i="7"/>
  <c r="N57" i="33"/>
  <c r="AU38" i="7"/>
  <c r="I33" i="19"/>
  <c r="AU23" i="7"/>
  <c r="E23" i="19"/>
  <c r="BJ23" i="7"/>
  <c r="D23" i="19"/>
  <c r="CA38" i="7"/>
  <c r="E41" i="19"/>
  <c r="CQ38" i="7"/>
  <c r="CP38" i="7"/>
  <c r="DF23" i="7"/>
  <c r="DG23" i="7"/>
  <c r="L65" i="19"/>
  <c r="DF62" i="7"/>
  <c r="DG62" i="7"/>
  <c r="DW38" i="7"/>
  <c r="DV38" i="7"/>
  <c r="AE50" i="7"/>
  <c r="AD50" i="7"/>
  <c r="AU50" i="7"/>
  <c r="AT50" i="7"/>
  <c r="BJ62" i="7"/>
  <c r="D65" i="19"/>
  <c r="BX54" i="7"/>
  <c r="BZ54" i="7" s="1"/>
  <c r="BZ38" i="7"/>
  <c r="CQ33" i="7"/>
  <c r="CP33" i="7"/>
  <c r="L53" i="19"/>
  <c r="DF50" i="7"/>
  <c r="DG50" i="7"/>
  <c r="DV33" i="7"/>
  <c r="DW33" i="7"/>
  <c r="I53" i="19"/>
  <c r="AD38" i="7"/>
  <c r="AE38" i="7"/>
  <c r="BJ50" i="7"/>
  <c r="D53" i="19"/>
  <c r="CA62" i="7"/>
  <c r="CQ23" i="7"/>
  <c r="CP23" i="7"/>
  <c r="CQ62" i="7"/>
  <c r="CP62" i="7"/>
  <c r="L41" i="19"/>
  <c r="DG38" i="7"/>
  <c r="DF38" i="7"/>
  <c r="EL38" i="7" s="1"/>
  <c r="DV23" i="7"/>
  <c r="DW23" i="7"/>
  <c r="DV62" i="7"/>
  <c r="DW62" i="7"/>
  <c r="BJ33" i="7"/>
  <c r="D33" i="19"/>
  <c r="BJ38" i="7"/>
  <c r="D41" i="19"/>
  <c r="CA50" i="7"/>
  <c r="E53" i="19"/>
  <c r="BQ34" i="7"/>
  <c r="CA33" i="7"/>
  <c r="CA23" i="7"/>
  <c r="BZ23" i="7"/>
  <c r="CQ50" i="7"/>
  <c r="CP50" i="7"/>
  <c r="L33" i="19"/>
  <c r="DF33" i="7"/>
  <c r="DG33" i="7"/>
  <c r="DW50" i="7"/>
  <c r="DV50" i="7"/>
  <c r="E62" i="33"/>
  <c r="AB54" i="7"/>
  <c r="C23" i="33"/>
  <c r="M6" i="33"/>
  <c r="M6" i="19" s="1"/>
  <c r="C66" i="33"/>
  <c r="H38" i="33"/>
  <c r="N34" i="33"/>
  <c r="H66" i="33"/>
  <c r="N66" i="33" s="1"/>
  <c r="E54" i="7"/>
  <c r="AK54" i="7"/>
  <c r="I54" i="7"/>
  <c r="EG54" i="7" s="1"/>
  <c r="Z34" i="7"/>
  <c r="AR54" i="7"/>
  <c r="BH34" i="7"/>
  <c r="BK34" i="7" s="1"/>
  <c r="BH54" i="7"/>
  <c r="AK34" i="7"/>
  <c r="DR34" i="7"/>
  <c r="CL34" i="7"/>
  <c r="BF34" i="7"/>
  <c r="CN34" i="7"/>
  <c r="BF54" i="7"/>
  <c r="DD34" i="7"/>
  <c r="DD54" i="7"/>
  <c r="DT34" i="7"/>
  <c r="DT54" i="7"/>
  <c r="L54" i="7"/>
  <c r="N54" i="7" s="1"/>
  <c r="CN54" i="7"/>
  <c r="AP34" i="7"/>
  <c r="AP54" i="7"/>
  <c r="AB34" i="7"/>
  <c r="AD34" i="7" s="1"/>
  <c r="AR34" i="7"/>
  <c r="AT34" i="7" s="1"/>
  <c r="AZ54" i="7"/>
  <c r="EB54" i="7" s="1"/>
  <c r="BV54" i="7"/>
  <c r="BV34" i="7"/>
  <c r="DB54" i="7"/>
  <c r="DR54" i="7"/>
  <c r="DX54" i="7" s="1"/>
  <c r="Z54" i="7"/>
  <c r="Z63" i="7" s="1"/>
  <c r="DB34" i="7"/>
  <c r="BX34" i="7"/>
  <c r="BZ34" i="7" s="1"/>
  <c r="CL54" i="7"/>
  <c r="CR54" i="7" s="1"/>
  <c r="I34" i="7"/>
  <c r="EG34" i="7" s="1"/>
  <c r="L34" i="7"/>
  <c r="N34" i="7" s="1"/>
  <c r="AZ34" i="7"/>
  <c r="EB34" i="7" s="1"/>
  <c r="U54" i="7"/>
  <c r="U34" i="7"/>
  <c r="BQ54" i="7"/>
  <c r="I22" i="41"/>
  <c r="D22" i="41"/>
  <c r="EC54" i="7" l="1"/>
  <c r="EL50" i="7"/>
  <c r="N53" i="19" s="1"/>
  <c r="E62" i="19"/>
  <c r="E67" i="19" s="1"/>
  <c r="E61" i="33"/>
  <c r="EL33" i="7"/>
  <c r="E22" i="41"/>
  <c r="DH54" i="7"/>
  <c r="EJ54" i="7"/>
  <c r="EL62" i="7"/>
  <c r="EJ34" i="7"/>
  <c r="EL23" i="7"/>
  <c r="N23" i="19" s="1"/>
  <c r="DX34" i="7"/>
  <c r="EC34" i="7"/>
  <c r="H66" i="19"/>
  <c r="H69" i="19" s="1"/>
  <c r="H70" i="19" s="1"/>
  <c r="DH34" i="7"/>
  <c r="CR34" i="7"/>
  <c r="BL54" i="7"/>
  <c r="BV63" i="7"/>
  <c r="CB54" i="7"/>
  <c r="CB34" i="7"/>
  <c r="AV34" i="7"/>
  <c r="BL34" i="7"/>
  <c r="AP63" i="7"/>
  <c r="AV54" i="7"/>
  <c r="C34" i="33"/>
  <c r="AE54" i="7"/>
  <c r="BX63" i="7"/>
  <c r="BZ63" i="7" s="1"/>
  <c r="AE34" i="7"/>
  <c r="BQ63" i="7"/>
  <c r="CA54" i="7"/>
  <c r="E57" i="19"/>
  <c r="CN63" i="7"/>
  <c r="CQ54" i="7"/>
  <c r="CP54" i="7"/>
  <c r="L57" i="19"/>
  <c r="DG54" i="7"/>
  <c r="DF54" i="7"/>
  <c r="AU34" i="7"/>
  <c r="L63" i="7"/>
  <c r="N63" i="7" s="1"/>
  <c r="N64" i="7" s="1"/>
  <c r="L34" i="19"/>
  <c r="L37" i="19" s="1"/>
  <c r="DF34" i="7"/>
  <c r="DG34" i="7"/>
  <c r="BH63" i="7"/>
  <c r="BK63" i="7" s="1"/>
  <c r="BK54" i="7"/>
  <c r="I63" i="7"/>
  <c r="I57" i="19"/>
  <c r="N33" i="19"/>
  <c r="N65" i="19"/>
  <c r="I34" i="19"/>
  <c r="I37" i="19" s="1"/>
  <c r="BJ54" i="7"/>
  <c r="D57" i="19"/>
  <c r="DT63" i="7"/>
  <c r="DV54" i="7"/>
  <c r="DW54" i="7"/>
  <c r="AU54" i="7"/>
  <c r="AB63" i="7"/>
  <c r="AD63" i="7" s="1"/>
  <c r="AD54" i="7"/>
  <c r="N41" i="19"/>
  <c r="BJ34" i="7"/>
  <c r="D34" i="19"/>
  <c r="D37" i="19" s="1"/>
  <c r="DW34" i="7"/>
  <c r="DV34" i="7"/>
  <c r="CP34" i="7"/>
  <c r="CQ34" i="7"/>
  <c r="AR63" i="7"/>
  <c r="AT63" i="7" s="1"/>
  <c r="AT54" i="7"/>
  <c r="E63" i="7"/>
  <c r="CA34" i="7"/>
  <c r="E34" i="19"/>
  <c r="E37" i="19" s="1"/>
  <c r="O62" i="33"/>
  <c r="O62" i="19" s="1"/>
  <c r="O67" i="19" s="1"/>
  <c r="AZ63" i="7"/>
  <c r="EB63" i="7" s="1"/>
  <c r="DD63" i="7"/>
  <c r="EJ63" i="7" s="1"/>
  <c r="DR63" i="7"/>
  <c r="DX63" i="7" s="1"/>
  <c r="CL63" i="7"/>
  <c r="CR63" i="7" s="1"/>
  <c r="BF63" i="7"/>
  <c r="AK63" i="7"/>
  <c r="DB63" i="7"/>
  <c r="U63" i="7"/>
  <c r="CX65" i="7"/>
  <c r="DH63" i="7" l="1"/>
  <c r="EG63" i="7"/>
  <c r="I66" i="19" s="1"/>
  <c r="I69" i="19" s="1"/>
  <c r="I70" i="19" s="1"/>
  <c r="BL63" i="7"/>
  <c r="EL54" i="7"/>
  <c r="BQ65" i="7"/>
  <c r="EC63" i="7"/>
  <c r="E65" i="33"/>
  <c r="E65" i="19" s="1"/>
  <c r="E61" i="19"/>
  <c r="O61" i="33"/>
  <c r="O61" i="19" s="1"/>
  <c r="EL34" i="7"/>
  <c r="DX64" i="7"/>
  <c r="CR64" i="7"/>
  <c r="CB63" i="7"/>
  <c r="CB64" i="7" s="1"/>
  <c r="BL64" i="7"/>
  <c r="E66" i="33"/>
  <c r="O65" i="33"/>
  <c r="AV63" i="7"/>
  <c r="AV64" i="7" s="1"/>
  <c r="AU63" i="7"/>
  <c r="AE63" i="7"/>
  <c r="E67" i="7"/>
  <c r="L66" i="19"/>
  <c r="L69" i="19" s="1"/>
  <c r="L70" i="19" s="1"/>
  <c r="DF63" i="7"/>
  <c r="DG63" i="7"/>
  <c r="DV63" i="7"/>
  <c r="DV64" i="7" s="1"/>
  <c r="DW63" i="7"/>
  <c r="DW64" i="7" s="1"/>
  <c r="N57" i="19"/>
  <c r="BJ63" i="7"/>
  <c r="D66" i="19"/>
  <c r="D69" i="19" s="1"/>
  <c r="D70" i="19" s="1"/>
  <c r="N34" i="19"/>
  <c r="N37" i="19" s="1"/>
  <c r="CQ63" i="7"/>
  <c r="CQ64" i="7" s="1"/>
  <c r="CP63" i="7"/>
  <c r="CA63" i="7"/>
  <c r="CA64" i="7" s="1"/>
  <c r="AK65" i="7"/>
  <c r="BK64" i="7"/>
  <c r="U66" i="7"/>
  <c r="P15" i="13"/>
  <c r="P16" i="13"/>
  <c r="P17" i="13"/>
  <c r="P18" i="13"/>
  <c r="P14" i="13"/>
  <c r="P13" i="13"/>
  <c r="M12" i="13"/>
  <c r="P12" i="13" s="1"/>
  <c r="E15" i="39"/>
  <c r="E24" i="39" s="1"/>
  <c r="F8" i="39"/>
  <c r="F9" i="39"/>
  <c r="F10" i="39"/>
  <c r="F11" i="39"/>
  <c r="F12" i="39"/>
  <c r="F13" i="39"/>
  <c r="F14" i="39"/>
  <c r="F16" i="39"/>
  <c r="F17" i="39"/>
  <c r="F18" i="39"/>
  <c r="F19" i="39"/>
  <c r="F20" i="39"/>
  <c r="F21" i="39"/>
  <c r="F22" i="39"/>
  <c r="F7" i="39"/>
  <c r="F41" i="39"/>
  <c r="F42" i="39"/>
  <c r="F43" i="39"/>
  <c r="F44" i="39"/>
  <c r="F45" i="39"/>
  <c r="F30" i="39"/>
  <c r="F31" i="39"/>
  <c r="F32" i="39"/>
  <c r="F33" i="39"/>
  <c r="F34" i="39"/>
  <c r="F35" i="39"/>
  <c r="F37" i="39"/>
  <c r="F38" i="39"/>
  <c r="F39" i="39"/>
  <c r="E40" i="39"/>
  <c r="E47" i="39" s="1"/>
  <c r="C34" i="39"/>
  <c r="E29" i="39"/>
  <c r="D29" i="39"/>
  <c r="DG64" i="7" l="1"/>
  <c r="EL63" i="7"/>
  <c r="DH64" i="7"/>
  <c r="O66" i="33"/>
  <c r="E66" i="19"/>
  <c r="E69" i="19" s="1"/>
  <c r="E70" i="19" s="1"/>
  <c r="N66" i="19"/>
  <c r="N69" i="19" s="1"/>
  <c r="AU64" i="7"/>
  <c r="O7" i="11"/>
  <c r="I28" i="17" l="1"/>
  <c r="I29" i="17"/>
  <c r="N19" i="35"/>
  <c r="M19" i="35"/>
  <c r="L19" i="35"/>
  <c r="K19" i="35"/>
  <c r="J19" i="35"/>
  <c r="I19" i="35"/>
  <c r="N14" i="35"/>
  <c r="F15" i="35"/>
  <c r="G15" i="35"/>
  <c r="H11" i="35"/>
  <c r="H10" i="35" s="1"/>
  <c r="G11" i="35"/>
  <c r="G10" i="35" s="1"/>
  <c r="I11" i="35"/>
  <c r="I10" i="35" s="1"/>
  <c r="N11" i="35"/>
  <c r="N10" i="35" s="1"/>
  <c r="D10" i="35"/>
  <c r="E10" i="35"/>
  <c r="F10" i="35"/>
  <c r="J10" i="35"/>
  <c r="K10" i="35"/>
  <c r="L10" i="35"/>
  <c r="M10" i="35"/>
  <c r="C10" i="35"/>
  <c r="F12" i="35"/>
  <c r="C12" i="35"/>
  <c r="D12" i="34"/>
  <c r="S19" i="34"/>
  <c r="I19" i="34"/>
  <c r="J19" i="34"/>
  <c r="E7" i="34"/>
  <c r="E6" i="34" s="1"/>
  <c r="F7" i="34"/>
  <c r="F6" i="34" s="1"/>
  <c r="G7" i="34"/>
  <c r="G6" i="34" s="1"/>
  <c r="H7" i="34"/>
  <c r="H6" i="34" s="1"/>
  <c r="I7" i="34"/>
  <c r="I6" i="34" s="1"/>
  <c r="J7" i="34"/>
  <c r="J6" i="34" s="1"/>
  <c r="K7" i="34"/>
  <c r="K6" i="34" s="1"/>
  <c r="L7" i="34"/>
  <c r="L6" i="34" s="1"/>
  <c r="M7" i="34"/>
  <c r="M6" i="34" s="1"/>
  <c r="N7" i="34"/>
  <c r="N6" i="34" s="1"/>
  <c r="O7" i="34"/>
  <c r="O6" i="34" s="1"/>
  <c r="D7" i="34"/>
  <c r="D6" i="34" s="1"/>
  <c r="P8" i="34"/>
  <c r="P9" i="34"/>
  <c r="P10" i="34"/>
  <c r="P11" i="34"/>
  <c r="P13" i="34"/>
  <c r="P14" i="34"/>
  <c r="P15" i="34"/>
  <c r="P16" i="34"/>
  <c r="P17" i="34"/>
  <c r="P18" i="34"/>
  <c r="P20" i="34"/>
  <c r="P21" i="34"/>
  <c r="P22" i="34"/>
  <c r="P19" i="34" l="1"/>
  <c r="P6" i="34"/>
  <c r="P7" i="34"/>
  <c r="Z15" i="39" l="1"/>
  <c r="Y15" i="39"/>
  <c r="Y29" i="39"/>
  <c r="E18" i="13" l="1"/>
  <c r="I15" i="13"/>
  <c r="I14" i="13" l="1"/>
  <c r="AY23" i="7" l="1"/>
  <c r="AC46" i="39" l="1"/>
  <c r="AB46" i="39"/>
  <c r="AD45" i="39"/>
  <c r="AD44" i="39"/>
  <c r="AD43" i="39"/>
  <c r="AD42" i="39"/>
  <c r="AD41" i="39"/>
  <c r="AD39" i="39"/>
  <c r="AD38" i="39"/>
  <c r="AD37" i="39"/>
  <c r="AC36" i="39"/>
  <c r="AB36" i="39"/>
  <c r="AD35" i="39"/>
  <c r="AD34" i="39"/>
  <c r="AD33" i="39"/>
  <c r="AD32" i="39"/>
  <c r="AD31" i="39"/>
  <c r="AD30" i="39"/>
  <c r="AC29" i="39"/>
  <c r="AB29" i="39"/>
  <c r="AB40" i="39" s="1"/>
  <c r="AB47" i="39" s="1"/>
  <c r="AC23" i="39"/>
  <c r="AB23" i="39"/>
  <c r="AB24" i="39" s="1"/>
  <c r="AD22" i="39"/>
  <c r="AD21" i="39"/>
  <c r="AD20" i="39"/>
  <c r="AD19" i="39"/>
  <c r="AD18" i="39"/>
  <c r="AD17" i="39"/>
  <c r="AD16" i="39"/>
  <c r="AD15" i="39"/>
  <c r="AD14" i="39"/>
  <c r="AD13" i="39"/>
  <c r="AD12" i="39"/>
  <c r="AD11" i="39"/>
  <c r="AD10" i="39"/>
  <c r="AD9" i="39"/>
  <c r="AD8" i="39"/>
  <c r="AD7" i="39"/>
  <c r="AD36" i="39" l="1"/>
  <c r="AB48" i="39"/>
  <c r="AD46" i="39"/>
  <c r="AD23" i="39"/>
  <c r="AD29" i="39"/>
  <c r="AC24" i="39"/>
  <c r="AC40" i="39"/>
  <c r="AC47" i="39" s="1"/>
  <c r="AD47" i="39" s="1"/>
  <c r="AD24" i="39" l="1"/>
  <c r="AD48" i="39" s="1"/>
  <c r="AC48" i="39"/>
  <c r="AD40" i="39"/>
  <c r="H30" i="39" l="1"/>
  <c r="H31" i="39"/>
  <c r="H32" i="39"/>
  <c r="H33" i="39"/>
  <c r="H34" i="39"/>
  <c r="H35" i="39"/>
  <c r="H36" i="39"/>
  <c r="H37" i="39"/>
  <c r="H38" i="39"/>
  <c r="H39" i="39"/>
  <c r="H41" i="39"/>
  <c r="H42" i="39"/>
  <c r="H43" i="39"/>
  <c r="H44" i="39"/>
  <c r="H45" i="39"/>
  <c r="H9" i="39"/>
  <c r="H10" i="39"/>
  <c r="H11" i="39"/>
  <c r="H12" i="39"/>
  <c r="H13" i="39"/>
  <c r="H14" i="39"/>
  <c r="H16" i="39"/>
  <c r="H17" i="39"/>
  <c r="H18" i="39"/>
  <c r="H20" i="39"/>
  <c r="H21" i="39"/>
  <c r="H22" i="39"/>
  <c r="H8" i="39"/>
  <c r="H7" i="39"/>
  <c r="C36" i="39" l="1"/>
  <c r="F36" i="39" s="1"/>
  <c r="D13" i="15"/>
  <c r="T6" i="34"/>
  <c r="T7" i="34"/>
  <c r="T8" i="34"/>
  <c r="T9" i="34"/>
  <c r="T10" i="34"/>
  <c r="T11" i="34"/>
  <c r="T12" i="34"/>
  <c r="T13" i="34"/>
  <c r="T14" i="34"/>
  <c r="T15" i="34"/>
  <c r="T16" i="34"/>
  <c r="T17" i="34"/>
  <c r="T18" i="34"/>
  <c r="T19" i="34"/>
  <c r="T20" i="34"/>
  <c r="T21" i="34"/>
  <c r="T22" i="34"/>
  <c r="T23" i="34"/>
  <c r="T24" i="34"/>
  <c r="T26" i="34"/>
  <c r="T27" i="34"/>
  <c r="T28" i="34"/>
  <c r="T29" i="34"/>
  <c r="T31" i="34"/>
  <c r="T32" i="34"/>
  <c r="T33" i="34"/>
  <c r="T34" i="34"/>
  <c r="T35" i="34"/>
  <c r="T36" i="34"/>
  <c r="T37" i="34"/>
  <c r="T38" i="34"/>
  <c r="T5" i="34"/>
  <c r="D14" i="35"/>
  <c r="E14" i="35"/>
  <c r="F14" i="35"/>
  <c r="G14" i="35"/>
  <c r="H14" i="35"/>
  <c r="I14" i="35"/>
  <c r="J14" i="35"/>
  <c r="K14" i="35"/>
  <c r="L14" i="35"/>
  <c r="M14" i="35"/>
  <c r="DS62" i="7" l="1"/>
  <c r="DO62" i="7"/>
  <c r="DK62" i="7"/>
  <c r="DS50" i="7"/>
  <c r="DO50" i="7"/>
  <c r="DK50" i="7"/>
  <c r="DS38" i="7"/>
  <c r="DO38" i="7"/>
  <c r="DS33" i="7"/>
  <c r="DO33" i="7"/>
  <c r="DK33" i="7"/>
  <c r="DS23" i="7"/>
  <c r="DO23" i="7"/>
  <c r="DK23" i="7"/>
  <c r="DU38" i="7" l="1"/>
  <c r="DU33" i="7"/>
  <c r="DU62" i="7"/>
  <c r="DU23" i="7"/>
  <c r="DU50" i="7"/>
  <c r="DK54" i="7"/>
  <c r="DS34" i="7"/>
  <c r="DS54" i="7"/>
  <c r="DS63" i="7" s="1"/>
  <c r="DO54" i="7"/>
  <c r="DO63" i="7" s="1"/>
  <c r="DO34" i="7"/>
  <c r="DK34" i="7"/>
  <c r="DU34" i="7" l="1"/>
  <c r="DK63" i="7"/>
  <c r="DU63" i="7" s="1"/>
  <c r="DU54" i="7"/>
  <c r="I13" i="13"/>
  <c r="DU64" i="7" l="1"/>
  <c r="C14" i="35"/>
  <c r="P23" i="35"/>
  <c r="P25" i="35"/>
  <c r="P28" i="35"/>
  <c r="P29" i="35"/>
  <c r="P30" i="35"/>
  <c r="AA30" i="39" l="1"/>
  <c r="AA31" i="39"/>
  <c r="AA33" i="39"/>
  <c r="AA34" i="39"/>
  <c r="AA35" i="39"/>
  <c r="AA37" i="39"/>
  <c r="AA38" i="39"/>
  <c r="AA39" i="39"/>
  <c r="AA41" i="39"/>
  <c r="AA42" i="39"/>
  <c r="AA43" i="39"/>
  <c r="AA44" i="39"/>
  <c r="AA45" i="39"/>
  <c r="AA8" i="39"/>
  <c r="AA9" i="39"/>
  <c r="AA10" i="39"/>
  <c r="AA11" i="39"/>
  <c r="AA12" i="39"/>
  <c r="AA13" i="39"/>
  <c r="AA14" i="39"/>
  <c r="AA16" i="39"/>
  <c r="AA17" i="39"/>
  <c r="AA18" i="39"/>
  <c r="AA19" i="39"/>
  <c r="AA20" i="39"/>
  <c r="AA21" i="39"/>
  <c r="AA22" i="39"/>
  <c r="AA7" i="39"/>
  <c r="X30" i="39"/>
  <c r="X31" i="39"/>
  <c r="X32" i="39"/>
  <c r="X33" i="39"/>
  <c r="X34" i="39"/>
  <c r="X35" i="39"/>
  <c r="X36" i="39"/>
  <c r="X37" i="39"/>
  <c r="X38" i="39"/>
  <c r="X39" i="39"/>
  <c r="X41" i="39"/>
  <c r="X42" i="39"/>
  <c r="X43" i="39"/>
  <c r="X44" i="39"/>
  <c r="X45" i="39"/>
  <c r="AA32" i="39"/>
  <c r="O11" i="39" l="1"/>
  <c r="O15" i="39" s="1"/>
  <c r="Q15" i="39"/>
  <c r="N30" i="39" l="1"/>
  <c r="N31" i="39"/>
  <c r="N32" i="39"/>
  <c r="N33" i="39"/>
  <c r="N34" i="39"/>
  <c r="N35" i="39"/>
  <c r="N37" i="39"/>
  <c r="N38" i="39"/>
  <c r="N39" i="39"/>
  <c r="N41" i="39"/>
  <c r="N42" i="39"/>
  <c r="N43" i="39"/>
  <c r="N44" i="39"/>
  <c r="N45" i="39"/>
  <c r="N8" i="39"/>
  <c r="N9" i="39"/>
  <c r="N10" i="39"/>
  <c r="N11" i="39"/>
  <c r="N12" i="39"/>
  <c r="N13" i="39"/>
  <c r="N14" i="39"/>
  <c r="N16" i="39"/>
  <c r="N17" i="39"/>
  <c r="N18" i="39"/>
  <c r="N19" i="39"/>
  <c r="N20" i="39"/>
  <c r="N21" i="39"/>
  <c r="N22" i="39"/>
  <c r="N7" i="39"/>
  <c r="K30" i="39" l="1"/>
  <c r="K31" i="39"/>
  <c r="K32" i="39"/>
  <c r="K33" i="39"/>
  <c r="K34" i="39"/>
  <c r="K35" i="39"/>
  <c r="K37" i="39"/>
  <c r="K38" i="39"/>
  <c r="K39" i="39"/>
  <c r="K41" i="39"/>
  <c r="K42" i="39"/>
  <c r="K43" i="39"/>
  <c r="K44" i="39"/>
  <c r="K45" i="39"/>
  <c r="K8" i="39"/>
  <c r="K9" i="39"/>
  <c r="K10" i="39"/>
  <c r="K11" i="39"/>
  <c r="K12" i="39"/>
  <c r="K13" i="39"/>
  <c r="K14" i="39"/>
  <c r="K16" i="39"/>
  <c r="K17" i="39"/>
  <c r="K18" i="39"/>
  <c r="K19" i="39"/>
  <c r="K20" i="39"/>
  <c r="K21" i="39"/>
  <c r="K22" i="39"/>
  <c r="K7" i="39"/>
  <c r="D15" i="39"/>
  <c r="D24" i="39" s="1"/>
  <c r="D40" i="39"/>
  <c r="D47" i="39" s="1"/>
  <c r="X8" i="39" l="1"/>
  <c r="X9" i="39"/>
  <c r="X10" i="39"/>
  <c r="X11" i="39"/>
  <c r="X12" i="39"/>
  <c r="X13" i="39"/>
  <c r="X14" i="39"/>
  <c r="X16" i="39"/>
  <c r="X17" i="39"/>
  <c r="X18" i="39"/>
  <c r="X19" i="39"/>
  <c r="X20" i="39"/>
  <c r="X21" i="39"/>
  <c r="X22" i="39"/>
  <c r="X7" i="39"/>
  <c r="C46" i="39" l="1"/>
  <c r="F46" i="39" s="1"/>
  <c r="C29" i="39"/>
  <c r="F29" i="39" s="1"/>
  <c r="C23" i="39"/>
  <c r="F23" i="39" s="1"/>
  <c r="C15" i="39"/>
  <c r="F15" i="39" s="1"/>
  <c r="Z46" i="39"/>
  <c r="Y46" i="39"/>
  <c r="W46" i="39"/>
  <c r="X46" i="39" s="1"/>
  <c r="U46" i="39"/>
  <c r="T46" i="39"/>
  <c r="S46" i="39"/>
  <c r="Q46" i="39"/>
  <c r="P46" i="39"/>
  <c r="O46" i="39"/>
  <c r="M46" i="39"/>
  <c r="L46" i="39"/>
  <c r="J46" i="39"/>
  <c r="I46" i="39"/>
  <c r="G46" i="39"/>
  <c r="H46" i="39" s="1"/>
  <c r="V45" i="39"/>
  <c r="R45" i="39"/>
  <c r="V44" i="39"/>
  <c r="R44" i="39"/>
  <c r="V43" i="39"/>
  <c r="R43" i="39"/>
  <c r="V42" i="39"/>
  <c r="R42" i="39"/>
  <c r="V41" i="39"/>
  <c r="R41" i="39"/>
  <c r="V39" i="39"/>
  <c r="R39" i="39"/>
  <c r="V38" i="39"/>
  <c r="R38" i="39"/>
  <c r="V37" i="39"/>
  <c r="R37" i="39"/>
  <c r="Z36" i="39"/>
  <c r="Y36" i="39"/>
  <c r="T36" i="39"/>
  <c r="S36" i="39"/>
  <c r="Q36" i="39"/>
  <c r="P36" i="39"/>
  <c r="O36" i="39"/>
  <c r="M36" i="39"/>
  <c r="N36" i="39" s="1"/>
  <c r="J36" i="39"/>
  <c r="K36" i="39" s="1"/>
  <c r="V35" i="39"/>
  <c r="R35" i="39"/>
  <c r="V34" i="39"/>
  <c r="R34" i="39"/>
  <c r="V33" i="39"/>
  <c r="R33" i="39"/>
  <c r="V32" i="39"/>
  <c r="R32" i="39"/>
  <c r="V31" i="39"/>
  <c r="R31" i="39"/>
  <c r="V30" i="39"/>
  <c r="R30" i="39"/>
  <c r="Z29" i="39"/>
  <c r="W29" i="39"/>
  <c r="U29" i="39"/>
  <c r="U40" i="39" s="1"/>
  <c r="T29" i="39"/>
  <c r="S29" i="39"/>
  <c r="Q29" i="39"/>
  <c r="P29" i="39"/>
  <c r="O29" i="39"/>
  <c r="M29" i="39"/>
  <c r="L29" i="39"/>
  <c r="L40" i="39" s="1"/>
  <c r="J29" i="39"/>
  <c r="I29" i="39"/>
  <c r="I40" i="39" s="1"/>
  <c r="G29" i="39"/>
  <c r="H29" i="39" s="1"/>
  <c r="Z23" i="39"/>
  <c r="Y23" i="39"/>
  <c r="W23" i="39"/>
  <c r="X23" i="39" s="1"/>
  <c r="U23" i="39"/>
  <c r="T23" i="39"/>
  <c r="S23" i="39"/>
  <c r="Q23" i="39"/>
  <c r="Q24" i="39" s="1"/>
  <c r="P23" i="39"/>
  <c r="O23" i="39"/>
  <c r="M23" i="39"/>
  <c r="L23" i="39"/>
  <c r="J23" i="39"/>
  <c r="I23" i="39"/>
  <c r="V22" i="39"/>
  <c r="R22" i="39"/>
  <c r="V21" i="39"/>
  <c r="R21" i="39"/>
  <c r="V20" i="39"/>
  <c r="R20" i="39"/>
  <c r="V19" i="39"/>
  <c r="R19" i="39"/>
  <c r="V18" i="39"/>
  <c r="R18" i="39"/>
  <c r="V17" i="39"/>
  <c r="R17" i="39"/>
  <c r="V16" i="39"/>
  <c r="R16" i="39"/>
  <c r="AA15" i="39"/>
  <c r="W15" i="39"/>
  <c r="X15" i="39" s="1"/>
  <c r="U15" i="39"/>
  <c r="T15" i="39"/>
  <c r="P15" i="39"/>
  <c r="M15" i="39"/>
  <c r="L15" i="39"/>
  <c r="I15" i="39"/>
  <c r="G15" i="39"/>
  <c r="V14" i="39"/>
  <c r="R14" i="39"/>
  <c r="V13" i="39"/>
  <c r="R13" i="39"/>
  <c r="V12" i="39"/>
  <c r="R12" i="39"/>
  <c r="V11" i="39"/>
  <c r="R11" i="39"/>
  <c r="V10" i="39"/>
  <c r="R10" i="39"/>
  <c r="V9" i="39"/>
  <c r="R9" i="39"/>
  <c r="V8" i="39"/>
  <c r="R8" i="39"/>
  <c r="V7" i="39"/>
  <c r="R7" i="39"/>
  <c r="AA36" i="39" l="1"/>
  <c r="U47" i="39"/>
  <c r="H15" i="39"/>
  <c r="AA23" i="39"/>
  <c r="AA29" i="39"/>
  <c r="AA46" i="39"/>
  <c r="N23" i="39"/>
  <c r="K46" i="39"/>
  <c r="W40" i="39"/>
  <c r="X40" i="39" s="1"/>
  <c r="X29" i="39"/>
  <c r="K15" i="39"/>
  <c r="K23" i="39"/>
  <c r="N46" i="39"/>
  <c r="N29" i="39"/>
  <c r="N15" i="39"/>
  <c r="K29" i="39"/>
  <c r="P40" i="39"/>
  <c r="P47" i="39" s="1"/>
  <c r="Y40" i="39"/>
  <c r="M24" i="39"/>
  <c r="Z24" i="39"/>
  <c r="J24" i="39"/>
  <c r="V15" i="39"/>
  <c r="G40" i="39"/>
  <c r="H40" i="39" s="1"/>
  <c r="S40" i="39"/>
  <c r="S47" i="39" s="1"/>
  <c r="C24" i="39"/>
  <c r="F24" i="39" s="1"/>
  <c r="Z40" i="39"/>
  <c r="Z47" i="39" s="1"/>
  <c r="R15" i="39"/>
  <c r="U24" i="39"/>
  <c r="U48" i="39" s="1"/>
  <c r="V23" i="39"/>
  <c r="P24" i="39"/>
  <c r="R23" i="39"/>
  <c r="R36" i="39"/>
  <c r="V36" i="39"/>
  <c r="M40" i="39"/>
  <c r="Q40" i="39"/>
  <c r="Q47" i="39" s="1"/>
  <c r="Q48" i="39" s="1"/>
  <c r="V46" i="39"/>
  <c r="J40" i="39"/>
  <c r="R46" i="39"/>
  <c r="O40" i="39"/>
  <c r="T40" i="39"/>
  <c r="T47" i="39" s="1"/>
  <c r="C40" i="39"/>
  <c r="F40" i="39" s="1"/>
  <c r="L47" i="39"/>
  <c r="I47" i="39"/>
  <c r="I24" i="39"/>
  <c r="L24" i="39"/>
  <c r="O24" i="39"/>
  <c r="S24" i="39"/>
  <c r="W24" i="39"/>
  <c r="X24" i="39" s="1"/>
  <c r="Y24" i="39"/>
  <c r="T24" i="39"/>
  <c r="R29" i="39"/>
  <c r="V29" i="39"/>
  <c r="E33" i="34"/>
  <c r="F33" i="34"/>
  <c r="G33" i="34"/>
  <c r="H33" i="34"/>
  <c r="I33" i="34"/>
  <c r="J33" i="34"/>
  <c r="K33" i="34"/>
  <c r="L33" i="34"/>
  <c r="M33" i="34"/>
  <c r="N33" i="34"/>
  <c r="O33" i="34"/>
  <c r="P28" i="34"/>
  <c r="F12" i="34"/>
  <c r="F23" i="34" s="1"/>
  <c r="G12" i="34"/>
  <c r="G23" i="34" s="1"/>
  <c r="H12" i="34"/>
  <c r="H23" i="34" s="1"/>
  <c r="I12" i="34"/>
  <c r="I23" i="34" s="1"/>
  <c r="J12" i="34"/>
  <c r="J23" i="34" s="1"/>
  <c r="K12" i="34"/>
  <c r="K23" i="34" s="1"/>
  <c r="L12" i="34"/>
  <c r="L23" i="34" s="1"/>
  <c r="M12" i="34"/>
  <c r="M23" i="34" s="1"/>
  <c r="N12" i="34"/>
  <c r="N23" i="34" s="1"/>
  <c r="O12" i="34"/>
  <c r="O23" i="34" s="1"/>
  <c r="E12" i="34"/>
  <c r="E23" i="34" s="1"/>
  <c r="P12" i="34" l="1"/>
  <c r="Z48" i="39"/>
  <c r="I48" i="39"/>
  <c r="L48" i="39"/>
  <c r="H19" i="39"/>
  <c r="G23" i="39"/>
  <c r="P48" i="39"/>
  <c r="T48" i="39"/>
  <c r="S48" i="39"/>
  <c r="W47" i="39"/>
  <c r="X47" i="39" s="1"/>
  <c r="X48" i="39" s="1"/>
  <c r="AA24" i="39"/>
  <c r="Y47" i="39"/>
  <c r="AA47" i="39" s="1"/>
  <c r="AA40" i="39"/>
  <c r="K24" i="39"/>
  <c r="G47" i="39"/>
  <c r="H47" i="39" s="1"/>
  <c r="M47" i="39"/>
  <c r="N47" i="39" s="1"/>
  <c r="N40" i="39"/>
  <c r="N24" i="39"/>
  <c r="J47" i="39"/>
  <c r="K47" i="39" s="1"/>
  <c r="K40" i="39"/>
  <c r="R24" i="39"/>
  <c r="V40" i="39"/>
  <c r="R40" i="39"/>
  <c r="V24" i="39"/>
  <c r="V47" i="39"/>
  <c r="O47" i="39"/>
  <c r="R47" i="39" s="1"/>
  <c r="C47" i="39"/>
  <c r="F47" i="39" s="1"/>
  <c r="Y48" i="39" l="1"/>
  <c r="M48" i="39"/>
  <c r="J48" i="39"/>
  <c r="H23" i="39"/>
  <c r="G24" i="39"/>
  <c r="H24" i="39" s="1"/>
  <c r="H48" i="39" s="1"/>
  <c r="F48" i="39"/>
  <c r="K48" i="39"/>
  <c r="O48" i="39"/>
  <c r="AA48" i="39"/>
  <c r="V48" i="39"/>
  <c r="R48" i="39"/>
  <c r="N48" i="39"/>
  <c r="G18" i="13" l="1"/>
  <c r="I12" i="13"/>
  <c r="C18" i="13"/>
  <c r="D5" i="35" l="1"/>
  <c r="E5" i="35"/>
  <c r="E18" i="35" s="1"/>
  <c r="F5" i="35"/>
  <c r="F18" i="35" s="1"/>
  <c r="G5" i="35"/>
  <c r="G18" i="35" s="1"/>
  <c r="H5" i="35"/>
  <c r="H18" i="35" s="1"/>
  <c r="I5" i="35"/>
  <c r="I18" i="35" s="1"/>
  <c r="J5" i="35"/>
  <c r="J18" i="35" s="1"/>
  <c r="K5" i="35"/>
  <c r="K18" i="35" s="1"/>
  <c r="L5" i="35"/>
  <c r="L18" i="35" s="1"/>
  <c r="M5" i="35"/>
  <c r="M18" i="35" s="1"/>
  <c r="N5" i="35"/>
  <c r="N18" i="35" s="1"/>
  <c r="C5" i="35"/>
  <c r="N12" i="11" l="1"/>
  <c r="M12" i="11"/>
  <c r="O6" i="11"/>
  <c r="O12" i="11" s="1"/>
  <c r="I10" i="13" l="1"/>
  <c r="S12" i="13" l="1"/>
  <c r="P32" i="34"/>
  <c r="P31" i="34"/>
  <c r="P29" i="34"/>
  <c r="P27" i="34"/>
  <c r="P26" i="34"/>
  <c r="P24" i="34"/>
  <c r="P5" i="34"/>
  <c r="I7" i="13"/>
  <c r="I11" i="13"/>
  <c r="I8" i="13"/>
  <c r="I18" i="13" l="1"/>
  <c r="AQ62" i="7" l="1"/>
  <c r="AM62" i="7"/>
  <c r="AI62" i="7"/>
  <c r="AQ50" i="7"/>
  <c r="AM50" i="7"/>
  <c r="AQ38" i="7"/>
  <c r="AM38" i="7"/>
  <c r="AI38" i="7"/>
  <c r="AQ33" i="7"/>
  <c r="AM33" i="7"/>
  <c r="AI33" i="7"/>
  <c r="AQ23" i="7"/>
  <c r="AM23" i="7"/>
  <c r="AI23" i="7"/>
  <c r="AS38" i="7" l="1"/>
  <c r="AS33" i="7"/>
  <c r="AM54" i="7"/>
  <c r="AM63" i="7" s="1"/>
  <c r="AS62" i="7"/>
  <c r="AS23" i="7"/>
  <c r="AS50" i="7"/>
  <c r="AQ54" i="7"/>
  <c r="AI54" i="7"/>
  <c r="AQ34" i="7"/>
  <c r="AM34" i="7"/>
  <c r="AI34" i="7"/>
  <c r="O6" i="35"/>
  <c r="O7" i="35"/>
  <c r="O8" i="35"/>
  <c r="O9" i="35"/>
  <c r="O11" i="35"/>
  <c r="O12" i="35"/>
  <c r="O13" i="35"/>
  <c r="O15" i="35"/>
  <c r="O16" i="35"/>
  <c r="O17" i="35"/>
  <c r="O19" i="35"/>
  <c r="O20" i="35"/>
  <c r="O21" i="35"/>
  <c r="O22" i="35"/>
  <c r="O23" i="35"/>
  <c r="G34" i="34"/>
  <c r="K34" i="34"/>
  <c r="L34" i="34"/>
  <c r="O34" i="34"/>
  <c r="H34" i="34"/>
  <c r="I34" i="34"/>
  <c r="J34" i="34"/>
  <c r="M34" i="34"/>
  <c r="N34" i="34"/>
  <c r="E24" i="35"/>
  <c r="E25" i="35" s="1"/>
  <c r="F24" i="35"/>
  <c r="F25" i="35" s="1"/>
  <c r="G24" i="35"/>
  <c r="G25" i="35" s="1"/>
  <c r="H24" i="35"/>
  <c r="H25" i="35" s="1"/>
  <c r="I24" i="35"/>
  <c r="I25" i="35" s="1"/>
  <c r="J24" i="35"/>
  <c r="J25" i="35" s="1"/>
  <c r="K24" i="35"/>
  <c r="K25" i="35" s="1"/>
  <c r="L24" i="35"/>
  <c r="L25" i="35" s="1"/>
  <c r="M24" i="35"/>
  <c r="M25" i="35" s="1"/>
  <c r="N24" i="35"/>
  <c r="N25" i="35" s="1"/>
  <c r="D24" i="35"/>
  <c r="C24" i="35"/>
  <c r="D18" i="35"/>
  <c r="D33" i="34"/>
  <c r="E34" i="34"/>
  <c r="D23" i="34"/>
  <c r="I9" i="13"/>
  <c r="BC62" i="7"/>
  <c r="BG62" i="7"/>
  <c r="AY62" i="7"/>
  <c r="BC50" i="7"/>
  <c r="BG50" i="7"/>
  <c r="AY50" i="7"/>
  <c r="BC38" i="7"/>
  <c r="BG38" i="7"/>
  <c r="AY38" i="7"/>
  <c r="V62" i="7"/>
  <c r="ED62" i="7" s="1"/>
  <c r="AA62" i="7"/>
  <c r="V50" i="7"/>
  <c r="ED50" i="7" s="1"/>
  <c r="AA50" i="7"/>
  <c r="AC50" i="7" s="1"/>
  <c r="V38" i="7"/>
  <c r="ED38" i="7" s="1"/>
  <c r="AA38" i="7"/>
  <c r="S62" i="7"/>
  <c r="S38" i="7"/>
  <c r="J38" i="7"/>
  <c r="DC62" i="7"/>
  <c r="CY62" i="7"/>
  <c r="CU62" i="7"/>
  <c r="DC50" i="7"/>
  <c r="CY50" i="7"/>
  <c r="CY38" i="7"/>
  <c r="DC38" i="7"/>
  <c r="CU38" i="7"/>
  <c r="CI62" i="7"/>
  <c r="CM62" i="7"/>
  <c r="CI50" i="7"/>
  <c r="CM50" i="7"/>
  <c r="CI38" i="7"/>
  <c r="CM38" i="7"/>
  <c r="CE62" i="7"/>
  <c r="CE38" i="7"/>
  <c r="BS62" i="7"/>
  <c r="BW62" i="7"/>
  <c r="BS50" i="7"/>
  <c r="BS38" i="7"/>
  <c r="BW38" i="7"/>
  <c r="BO62" i="7"/>
  <c r="BO50" i="7"/>
  <c r="BO38" i="7"/>
  <c r="G62" i="7"/>
  <c r="J62" i="7"/>
  <c r="G50" i="7"/>
  <c r="M50" i="7" s="1"/>
  <c r="O50" i="7" s="1"/>
  <c r="J50" i="7"/>
  <c r="C62" i="7"/>
  <c r="M62" i="7" s="1"/>
  <c r="O62" i="7" s="1"/>
  <c r="C38" i="7"/>
  <c r="M38" i="7" s="1"/>
  <c r="O38" i="7" s="1"/>
  <c r="DC33" i="7"/>
  <c r="CY33" i="7"/>
  <c r="CU33" i="7"/>
  <c r="DC23" i="7"/>
  <c r="CY23" i="7"/>
  <c r="CU23" i="7"/>
  <c r="CM33" i="7"/>
  <c r="CI33" i="7"/>
  <c r="CE33" i="7"/>
  <c r="CM23" i="7"/>
  <c r="CI23" i="7"/>
  <c r="CE23" i="7"/>
  <c r="BW33" i="7"/>
  <c r="BS33" i="7"/>
  <c r="BO33" i="7"/>
  <c r="BW23" i="7"/>
  <c r="BS23" i="7"/>
  <c r="BG33" i="7"/>
  <c r="BC33" i="7"/>
  <c r="AY33" i="7"/>
  <c r="BG23" i="7"/>
  <c r="BC23" i="7"/>
  <c r="AA33" i="7"/>
  <c r="V33" i="7"/>
  <c r="ED33" i="7" s="1"/>
  <c r="S33" i="7"/>
  <c r="AA23" i="7"/>
  <c r="V23" i="7"/>
  <c r="ED23" i="7" s="1"/>
  <c r="S23" i="7"/>
  <c r="J33" i="7"/>
  <c r="G33" i="7"/>
  <c r="C33" i="7"/>
  <c r="J23" i="7"/>
  <c r="C23" i="7"/>
  <c r="M23" i="7" s="1"/>
  <c r="O23" i="7" s="1"/>
  <c r="M65" i="33"/>
  <c r="K53" i="33"/>
  <c r="G53" i="33"/>
  <c r="K46" i="33"/>
  <c r="K46" i="19" s="1"/>
  <c r="G46" i="33"/>
  <c r="K33" i="33"/>
  <c r="G33" i="33"/>
  <c r="K23" i="33"/>
  <c r="G23" i="33"/>
  <c r="K7" i="33"/>
  <c r="K7" i="19" s="1"/>
  <c r="G7" i="33"/>
  <c r="G7" i="19" s="1"/>
  <c r="EA38" i="7" l="1"/>
  <c r="EH23" i="7"/>
  <c r="P23" i="7"/>
  <c r="O41" i="19"/>
  <c r="EM38" i="7"/>
  <c r="P62" i="7"/>
  <c r="EH62" i="7"/>
  <c r="EE38" i="7"/>
  <c r="G41" i="19" s="1"/>
  <c r="EE62" i="7"/>
  <c r="D25" i="35"/>
  <c r="G41" i="33"/>
  <c r="G46" i="19"/>
  <c r="EM62" i="7"/>
  <c r="O65" i="19" s="1"/>
  <c r="EE50" i="7"/>
  <c r="EI62" i="7"/>
  <c r="K65" i="19" s="1"/>
  <c r="P50" i="7"/>
  <c r="EH50" i="7"/>
  <c r="EI50" i="7"/>
  <c r="P38" i="7"/>
  <c r="EH38" i="7"/>
  <c r="EH33" i="7"/>
  <c r="P33" i="7"/>
  <c r="O53" i="19"/>
  <c r="EM50" i="7"/>
  <c r="EA50" i="7"/>
  <c r="EI38" i="7"/>
  <c r="EA62" i="7"/>
  <c r="C65" i="19" s="1"/>
  <c r="EA23" i="7"/>
  <c r="EE33" i="7"/>
  <c r="EM23" i="7"/>
  <c r="O23" i="19" s="1"/>
  <c r="C23" i="34" s="1"/>
  <c r="EE23" i="7"/>
  <c r="G23" i="19" s="1"/>
  <c r="EI33" i="7"/>
  <c r="EI23" i="7"/>
  <c r="EA33" i="7"/>
  <c r="F65" i="19"/>
  <c r="AF62" i="7"/>
  <c r="EN62" i="7" s="1"/>
  <c r="P65" i="19" s="1"/>
  <c r="F41" i="19"/>
  <c r="AF38" i="7"/>
  <c r="F33" i="19"/>
  <c r="AF33" i="7"/>
  <c r="EN33" i="7" s="1"/>
  <c r="P33" i="19" s="1"/>
  <c r="F53" i="19"/>
  <c r="AF50" i="7"/>
  <c r="EN50" i="7" s="1"/>
  <c r="P53" i="19" s="1"/>
  <c r="AF23" i="7"/>
  <c r="J53" i="19"/>
  <c r="J41" i="19"/>
  <c r="J33" i="19"/>
  <c r="J23" i="19"/>
  <c r="J65" i="19"/>
  <c r="AC33" i="7"/>
  <c r="AC38" i="7"/>
  <c r="K41" i="33"/>
  <c r="K57" i="33" s="1"/>
  <c r="K66" i="33" s="1"/>
  <c r="G34" i="33"/>
  <c r="G38" i="33" s="1"/>
  <c r="BY62" i="7"/>
  <c r="AC62" i="7"/>
  <c r="BY38" i="7"/>
  <c r="AC23" i="7"/>
  <c r="BI33" i="7"/>
  <c r="CO23" i="7"/>
  <c r="BY23" i="7"/>
  <c r="CO33" i="7"/>
  <c r="CO62" i="7"/>
  <c r="CO50" i="7"/>
  <c r="BI38" i="7"/>
  <c r="AS34" i="7"/>
  <c r="AS54" i="7"/>
  <c r="CO38" i="7"/>
  <c r="BY50" i="7"/>
  <c r="C53" i="19"/>
  <c r="K23" i="19"/>
  <c r="G65" i="19"/>
  <c r="K33" i="19"/>
  <c r="M33" i="7"/>
  <c r="O33" i="7" s="1"/>
  <c r="BY33" i="7"/>
  <c r="C33" i="19"/>
  <c r="DE33" i="7"/>
  <c r="G53" i="19"/>
  <c r="DE50" i="7"/>
  <c r="BI62" i="7"/>
  <c r="DE62" i="7"/>
  <c r="EK62" i="7" s="1"/>
  <c r="BI23" i="7"/>
  <c r="C23" i="19"/>
  <c r="DE23" i="7"/>
  <c r="EK23" i="7" s="1"/>
  <c r="G33" i="19"/>
  <c r="C41" i="19"/>
  <c r="DE38" i="7"/>
  <c r="K53" i="19"/>
  <c r="BI50" i="7"/>
  <c r="M33" i="33"/>
  <c r="M53" i="33"/>
  <c r="BW54" i="7"/>
  <c r="BW63" i="7" s="1"/>
  <c r="AQ63" i="7"/>
  <c r="AT64" i="7" s="1"/>
  <c r="M7" i="33"/>
  <c r="M7" i="19" s="1"/>
  <c r="M23" i="33"/>
  <c r="M46" i="33"/>
  <c r="M46" i="19" s="1"/>
  <c r="AI63" i="7"/>
  <c r="AY54" i="7"/>
  <c r="J54" i="7"/>
  <c r="S54" i="7"/>
  <c r="AA54" i="7"/>
  <c r="CM34" i="7"/>
  <c r="AY34" i="7"/>
  <c r="V34" i="7"/>
  <c r="K34" i="33"/>
  <c r="L35" i="34"/>
  <c r="H35" i="34"/>
  <c r="CY34" i="7"/>
  <c r="AA34" i="7"/>
  <c r="BC34" i="7"/>
  <c r="BO34" i="7"/>
  <c r="DC34" i="7"/>
  <c r="CM54" i="7"/>
  <c r="V54" i="7"/>
  <c r="ED54" i="7" s="1"/>
  <c r="BG34" i="7"/>
  <c r="BS34" i="7"/>
  <c r="CI54" i="7"/>
  <c r="CI63" i="7" s="1"/>
  <c r="DC54" i="7"/>
  <c r="CE34" i="7"/>
  <c r="P33" i="34"/>
  <c r="G34" i="7"/>
  <c r="S34" i="7"/>
  <c r="BW34" i="7"/>
  <c r="CI34" i="7"/>
  <c r="CU34" i="7"/>
  <c r="CY54" i="7"/>
  <c r="BS54" i="7"/>
  <c r="BS63" i="7" s="1"/>
  <c r="N35" i="34"/>
  <c r="J35" i="34"/>
  <c r="F35" i="34"/>
  <c r="O35" i="34"/>
  <c r="CU54" i="7"/>
  <c r="BO54" i="7"/>
  <c r="BG54" i="7"/>
  <c r="BC54" i="7"/>
  <c r="BC63" i="7" s="1"/>
  <c r="G54" i="7"/>
  <c r="G63" i="7" s="1"/>
  <c r="O24" i="35"/>
  <c r="M35" i="34"/>
  <c r="I35" i="34"/>
  <c r="G35" i="34"/>
  <c r="K35" i="34"/>
  <c r="O14" i="35"/>
  <c r="C18" i="35"/>
  <c r="C25" i="35" s="1"/>
  <c r="O10" i="35"/>
  <c r="O5" i="35"/>
  <c r="D34" i="34"/>
  <c r="CE54" i="7"/>
  <c r="C54" i="7"/>
  <c r="J34" i="7"/>
  <c r="C34" i="7"/>
  <c r="K41" i="19" l="1"/>
  <c r="EE54" i="7"/>
  <c r="EI54" i="7"/>
  <c r="P54" i="7"/>
  <c r="EH54" i="7"/>
  <c r="EK38" i="7"/>
  <c r="M41" i="19" s="1"/>
  <c r="EK33" i="7"/>
  <c r="EN38" i="7"/>
  <c r="P41" i="19" s="1"/>
  <c r="EH34" i="7"/>
  <c r="P34" i="7"/>
  <c r="EA54" i="7"/>
  <c r="EK50" i="7"/>
  <c r="EM33" i="7"/>
  <c r="O33" i="19" s="1"/>
  <c r="C33" i="34" s="1"/>
  <c r="EN23" i="7"/>
  <c r="EA34" i="7"/>
  <c r="C34" i="19" s="1"/>
  <c r="C37" i="19" s="1"/>
  <c r="EI34" i="7"/>
  <c r="EE34" i="7"/>
  <c r="G34" i="19" s="1"/>
  <c r="G37" i="19" s="1"/>
  <c r="AF34" i="7"/>
  <c r="ED34" i="7"/>
  <c r="F57" i="19"/>
  <c r="AF54" i="7"/>
  <c r="EN54" i="7" s="1"/>
  <c r="P57" i="19" s="1"/>
  <c r="J34" i="19"/>
  <c r="J37" i="19" s="1"/>
  <c r="M41" i="33"/>
  <c r="M34" i="7"/>
  <c r="O34" i="7" s="1"/>
  <c r="EM34" i="7" s="1"/>
  <c r="K34" i="19"/>
  <c r="K37" i="19" s="1"/>
  <c r="AS63" i="7"/>
  <c r="CO54" i="7"/>
  <c r="AC34" i="7"/>
  <c r="K57" i="19"/>
  <c r="M23" i="19"/>
  <c r="M65" i="19"/>
  <c r="BO63" i="7"/>
  <c r="BY63" i="7" s="1"/>
  <c r="BY54" i="7"/>
  <c r="BI34" i="7"/>
  <c r="J63" i="7"/>
  <c r="J57" i="19"/>
  <c r="C57" i="19"/>
  <c r="DE54" i="7"/>
  <c r="M54" i="7"/>
  <c r="O54" i="7" s="1"/>
  <c r="CO34" i="7"/>
  <c r="BY34" i="7"/>
  <c r="AC54" i="7"/>
  <c r="M33" i="19"/>
  <c r="DE34" i="7"/>
  <c r="BI54" i="7"/>
  <c r="M53" i="19"/>
  <c r="CM63" i="7"/>
  <c r="CP64" i="7"/>
  <c r="BZ64" i="7"/>
  <c r="BG63" i="7"/>
  <c r="BJ64" i="7"/>
  <c r="AA63" i="7"/>
  <c r="AD64" i="7" s="1"/>
  <c r="DC63" i="7"/>
  <c r="V63" i="7"/>
  <c r="ED63" i="7" s="1"/>
  <c r="G57" i="33"/>
  <c r="M34" i="33"/>
  <c r="AS64" i="7"/>
  <c r="D35" i="34"/>
  <c r="D36" i="34" s="1"/>
  <c r="O18" i="35"/>
  <c r="CU63" i="7"/>
  <c r="CY63" i="7"/>
  <c r="EE63" i="7" s="1"/>
  <c r="F34" i="34"/>
  <c r="S63" i="7"/>
  <c r="CE63" i="7"/>
  <c r="AY63" i="7"/>
  <c r="C63" i="7"/>
  <c r="M63" i="7" s="1"/>
  <c r="O63" i="7" s="1"/>
  <c r="EI63" i="7" l="1"/>
  <c r="EK54" i="7"/>
  <c r="EM54" i="7"/>
  <c r="O57" i="19" s="1"/>
  <c r="EA63" i="7"/>
  <c r="EK34" i="7"/>
  <c r="EM63" i="7"/>
  <c r="EM65" i="7" s="1"/>
  <c r="P63" i="7"/>
  <c r="EH63" i="7"/>
  <c r="J66" i="19" s="1"/>
  <c r="EN34" i="7"/>
  <c r="G57" i="19"/>
  <c r="F66" i="19"/>
  <c r="F69" i="19" s="1"/>
  <c r="AF63" i="7"/>
  <c r="P64" i="7"/>
  <c r="O64" i="7"/>
  <c r="V65" i="7"/>
  <c r="BI63" i="7"/>
  <c r="BI64" i="7" s="1"/>
  <c r="CO63" i="7"/>
  <c r="CO64" i="7" s="1"/>
  <c r="M34" i="19"/>
  <c r="M37" i="19" s="1"/>
  <c r="DE63" i="7"/>
  <c r="C66" i="19"/>
  <c r="C69" i="19" s="1"/>
  <c r="C70" i="19" s="1"/>
  <c r="AC63" i="7"/>
  <c r="AC64" i="7" s="1"/>
  <c r="DF64" i="7"/>
  <c r="K66" i="19"/>
  <c r="K69" i="19" s="1"/>
  <c r="K70" i="19" s="1"/>
  <c r="G66" i="33"/>
  <c r="M57" i="33"/>
  <c r="BY64" i="7"/>
  <c r="O25" i="35"/>
  <c r="E35" i="34"/>
  <c r="P23" i="34"/>
  <c r="EK63" i="7" l="1"/>
  <c r="O66" i="19"/>
  <c r="O69" i="19" s="1"/>
  <c r="O70" i="19" s="1"/>
  <c r="AF64" i="7"/>
  <c r="EN63" i="7"/>
  <c r="P66" i="19" s="1"/>
  <c r="G66" i="19"/>
  <c r="M66" i="33"/>
  <c r="M66" i="19" s="1"/>
  <c r="J69" i="19"/>
  <c r="J70" i="19" s="1"/>
  <c r="T66" i="19"/>
  <c r="M57" i="19"/>
  <c r="O34" i="19"/>
  <c r="O37" i="19" s="1"/>
  <c r="G69" i="19"/>
  <c r="G70" i="19" s="1"/>
  <c r="DE64" i="7"/>
  <c r="AE64" i="7"/>
  <c r="M64" i="7"/>
  <c r="P35" i="34"/>
  <c r="E36" i="34"/>
  <c r="F36" i="34" s="1"/>
  <c r="G36" i="34" s="1"/>
  <c r="H36" i="34" s="1"/>
  <c r="I36" i="34" s="1"/>
  <c r="J36" i="34" s="1"/>
  <c r="K36" i="34" s="1"/>
  <c r="L36" i="34" s="1"/>
  <c r="M36" i="34" s="1"/>
  <c r="N36" i="34" s="1"/>
  <c r="O36" i="34" s="1"/>
  <c r="P34" i="34"/>
  <c r="EN65" i="7" l="1"/>
  <c r="P68" i="19" s="1"/>
  <c r="P69" i="19" s="1"/>
  <c r="C34" i="34"/>
  <c r="M69" i="19"/>
  <c r="M70" i="19" s="1"/>
  <c r="N70" i="19"/>
  <c r="P8" i="35"/>
  <c r="P15" i="35"/>
  <c r="P11" i="35"/>
  <c r="P22" i="35"/>
  <c r="P9" i="35"/>
  <c r="P18" i="35"/>
  <c r="P21" i="35"/>
  <c r="P16" i="35"/>
  <c r="P19" i="35"/>
  <c r="P12" i="35"/>
  <c r="P7" i="35"/>
  <c r="P14" i="35"/>
  <c r="P20" i="35"/>
  <c r="P24" i="35"/>
  <c r="P13" i="35"/>
  <c r="P10" i="35"/>
  <c r="P6" i="35"/>
  <c r="P17" i="35"/>
  <c r="C7" i="15"/>
  <c r="P7" i="19"/>
  <c r="F7" i="19"/>
  <c r="P6" i="33"/>
  <c r="P6" i="19" s="1"/>
  <c r="F6" i="19" l="1"/>
  <c r="F23" i="33"/>
  <c r="F23" i="19" l="1"/>
  <c r="P23" i="33"/>
  <c r="P23" i="19" s="1"/>
  <c r="F34" i="33"/>
  <c r="P34" i="33" l="1"/>
  <c r="F34" i="19"/>
  <c r="F37" i="19" s="1"/>
  <c r="F70" i="19" s="1"/>
  <c r="J38" i="33"/>
  <c r="J71" i="33" s="1"/>
  <c r="P34" i="19" l="1"/>
  <c r="P37" i="19" s="1"/>
  <c r="P70" i="19" s="1"/>
  <c r="P70" i="33"/>
</calcChain>
</file>

<file path=xl/sharedStrings.xml><?xml version="1.0" encoding="utf-8"?>
<sst xmlns="http://schemas.openxmlformats.org/spreadsheetml/2006/main" count="2655" uniqueCount="627">
  <si>
    <t>Összesen:</t>
  </si>
  <si>
    <t>Budakeszi Város Önkormányzatának fennálló több évre kiható kötelezettségvállalásainak részletezése</t>
  </si>
  <si>
    <t>Hitel futamidő vége</t>
  </si>
  <si>
    <t>Átengedett központi adóból</t>
  </si>
  <si>
    <t>Polgármesteri Hivatal</t>
  </si>
  <si>
    <t>Támogatás</t>
  </si>
  <si>
    <t>Kiadások</t>
  </si>
  <si>
    <t>Személyi juttatások</t>
  </si>
  <si>
    <t>Munkaadókat terhelő járulékok és szociális hozzájárulási adó</t>
  </si>
  <si>
    <t>Tartalékok</t>
  </si>
  <si>
    <t>Beruházások</t>
  </si>
  <si>
    <t>Felújítások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</si>
  <si>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</si>
  <si>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</si>
  <si>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</si>
  <si>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</si>
  <si>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</si>
  <si>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</si>
  <si>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</si>
  <si>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</si>
  <si>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</si>
  <si>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</si>
  <si>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</si>
  <si>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</si>
  <si>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</si>
  <si>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</si>
  <si>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</si>
  <si>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</si>
  <si>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</si>
  <si>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</si>
  <si>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</si>
  <si>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Sorszám</t>
  </si>
  <si>
    <t>Megnevezés</t>
  </si>
  <si>
    <t>adatok ezer Ft-ban</t>
  </si>
  <si>
    <t>Bursa ösztöndij</t>
  </si>
  <si>
    <t>tőketörlesztés</t>
  </si>
  <si>
    <t>kamat</t>
  </si>
  <si>
    <t>összesen</t>
  </si>
  <si>
    <t>-ebből építményadó</t>
  </si>
  <si>
    <t>-ebből telekadó</t>
  </si>
  <si>
    <t>-ebből iparűzési adó</t>
  </si>
  <si>
    <t>-ebből gépjárműadó</t>
  </si>
  <si>
    <t>Budakeszi Város Önkormányzatának és intézményeinek költségvetése</t>
  </si>
  <si>
    <t xml:space="preserve">Bevételek </t>
  </si>
  <si>
    <t>Nagy Gáspár Városi Könyvtár</t>
  </si>
  <si>
    <t>sorszám</t>
  </si>
  <si>
    <t>megnevezés</t>
  </si>
  <si>
    <t>összesen:</t>
  </si>
  <si>
    <t>megjegyzés</t>
  </si>
  <si>
    <t>Ellátottak pénzbeli juttatása</t>
  </si>
  <si>
    <t>Céltartalék</t>
  </si>
  <si>
    <t>Általános tartalék</t>
  </si>
  <si>
    <t>Tartalékok összesen:</t>
  </si>
  <si>
    <t xml:space="preserve"> </t>
  </si>
  <si>
    <t>2.1</t>
  </si>
  <si>
    <t>2.2</t>
  </si>
  <si>
    <t>3.1</t>
  </si>
  <si>
    <t xml:space="preserve"> Budakeszi Önkormányzat bevételeiből</t>
  </si>
  <si>
    <t xml:space="preserve">Építményadóból </t>
  </si>
  <si>
    <t>1.1</t>
  </si>
  <si>
    <t>1.2</t>
  </si>
  <si>
    <t>1.3</t>
  </si>
  <si>
    <t>1.4</t>
  </si>
  <si>
    <t>1.5</t>
  </si>
  <si>
    <t>2.3</t>
  </si>
  <si>
    <t xml:space="preserve">Budakeszi Város Önkormányzat </t>
  </si>
  <si>
    <t>Budakeszi Bölcsőde közalkalmazott</t>
  </si>
  <si>
    <t>Szivárvány Óvoda közalkalmazott</t>
  </si>
  <si>
    <t>Erkel Ferenc Művelődési Központ közalkalmazott</t>
  </si>
  <si>
    <t xml:space="preserve">                  Rehab.foglalkoztatott</t>
  </si>
  <si>
    <t>-ebből idegenforgalmi adó</t>
  </si>
  <si>
    <t>Mindösszesen:</t>
  </si>
  <si>
    <t>-mezőőr</t>
  </si>
  <si>
    <t xml:space="preserve">-polgármester (különleges jogállású) </t>
  </si>
  <si>
    <t>Tájékoztató adatok az Áht. 24.§ (4) bekezdése alapján</t>
  </si>
  <si>
    <t>Tájékoztató adatok az Áht. 24. § (4) bekezdése alapján</t>
  </si>
  <si>
    <t>-ebből támogatási szerződés szerint elszámolandó</t>
  </si>
  <si>
    <t xml:space="preserve">Kimutatás az Európai Uniós támogatásokkal megvalósuló projektekről </t>
  </si>
  <si>
    <t>tájékoztató adatok</t>
  </si>
  <si>
    <t>Önkormányzat működési támogatása (állami)</t>
  </si>
  <si>
    <t>Működési célú támogatások államháztartáson belülről</t>
  </si>
  <si>
    <t>ebből egyéb működési célú támogatások bevételei</t>
  </si>
  <si>
    <t>2.11</t>
  </si>
  <si>
    <t>2.12</t>
  </si>
  <si>
    <t>2.13</t>
  </si>
  <si>
    <t>-ebből társulásoktól átvett támogatások</t>
  </si>
  <si>
    <t>Felhalmozási célú támogatások államháztartásokon belülről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</si>
  <si>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</si>
  <si>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</si>
  <si>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</si>
  <si>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</si>
  <si>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</si>
  <si>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KÖLTSÉGVETÉSI BEVÉTELEK ÖSSZESEN:</t>
  </si>
  <si>
    <t xml:space="preserve">Hitel, kölcsönfelvétel államháztartáson kívülről </t>
  </si>
  <si>
    <t>Belföldi értékpapírok bevételei</t>
  </si>
  <si>
    <t>Maradvány igénybevétele</t>
  </si>
  <si>
    <t>Belföldi finanszírozás bevételei</t>
  </si>
  <si>
    <t>-ebből központi irányítószervi támogatás</t>
  </si>
  <si>
    <t>Külföldi finanszírozás bevételei</t>
  </si>
  <si>
    <t>Adóssághoz nem kapcsolódó származékos ügyletek bevételei</t>
  </si>
  <si>
    <t>FINANSZÍROZÁSI BEVÉTELEK ÖSSZESEN:</t>
  </si>
  <si>
    <t>KÖLTSÉGVETÉSI ÉS FINANSZÍROZÁSI BEVÉTELEK ÖSSZESEN:</t>
  </si>
  <si>
    <t>- finanszírozás</t>
  </si>
  <si>
    <t>Működési költségvetés kiadásai</t>
  </si>
  <si>
    <t>1.51</t>
  </si>
  <si>
    <t>1.52</t>
  </si>
  <si>
    <t>1.6</t>
  </si>
  <si>
    <t xml:space="preserve">Munkaadókat terhelő járulékok és szociális hozz.adó  </t>
  </si>
  <si>
    <t xml:space="preserve">Dologi kiadások </t>
  </si>
  <si>
    <t xml:space="preserve">Ellátottak pénzbeli juttatásai </t>
  </si>
  <si>
    <t xml:space="preserve">Egyéb működési kiadások  </t>
  </si>
  <si>
    <t>-ebből működési célú támogatások állam háztartáson kívülre</t>
  </si>
  <si>
    <t>-ebből működési célú támogatások állam háztartáson belülre</t>
  </si>
  <si>
    <t>Felhalmozási költségvetés kiadásai</t>
  </si>
  <si>
    <t xml:space="preserve">Egyéb felhalmozási kiadások </t>
  </si>
  <si>
    <t>KÖLTSÉGVETÉSI KIADÁSOK ÖSSZESEN:</t>
  </si>
  <si>
    <t>Hitel, kölcsöntörlesztés államháztartáson kívülre</t>
  </si>
  <si>
    <t>Belföldi finanszírozás kiadásai</t>
  </si>
  <si>
    <t>ebből irányítószervi támogatás</t>
  </si>
  <si>
    <t>Külföldi finanszírozás kiadásai</t>
  </si>
  <si>
    <t>FINANSZÍROZÁSI KIADÁSOK ÖSSZESEN:</t>
  </si>
  <si>
    <t>KÖLTSÉGVETÉSI ÉS FINANSZÍROZÁSI KIADÁSOK ÖSSZESEN:</t>
  </si>
  <si>
    <t>-finanszírozás</t>
  </si>
  <si>
    <t>Budakeszi Város Önkormányzatának költségvetése</t>
  </si>
  <si>
    <t>Felhalmozási célú támogatások áll.házt.belülről</t>
  </si>
  <si>
    <t>ssz.</t>
  </si>
  <si>
    <t>Budakeszi Polgármesteri Hivatal költségvetése</t>
  </si>
  <si>
    <t>Budakeszi Bölcsöde költségvetése</t>
  </si>
  <si>
    <t>Pitypang Óvoda költségvetése</t>
  </si>
  <si>
    <t>Szivárvány Óvoda költségvetése</t>
  </si>
  <si>
    <t>Erkel Ferenc Művelődési Központ</t>
  </si>
  <si>
    <t>Működési célú támogatások áll.házt.belülről</t>
  </si>
  <si>
    <t>Dologi kiadások</t>
  </si>
  <si>
    <t>13.1</t>
  </si>
  <si>
    <t>13.2</t>
  </si>
  <si>
    <t>13.3</t>
  </si>
  <si>
    <t>13.4</t>
  </si>
  <si>
    <t>14.1</t>
  </si>
  <si>
    <t>14.2</t>
  </si>
  <si>
    <t>14.3</t>
  </si>
  <si>
    <t>Hiány belső finanszírozásának bevételei</t>
  </si>
  <si>
    <t>Költségvetési maradvány igénybevétele</t>
  </si>
  <si>
    <t>Vállalkozási maradvány igénybevétele</t>
  </si>
  <si>
    <t>Betét visszavonásából származó bevétel</t>
  </si>
  <si>
    <t>Egyéb belső finanszírozási bevételek</t>
  </si>
  <si>
    <t>Hiány külső finanszírozásának bevételei</t>
  </si>
  <si>
    <t>Értékpapírok bevételei</t>
  </si>
  <si>
    <t>Egyéb külső finanszírozási bevételek</t>
  </si>
  <si>
    <t>MŰKÖDÉSI CÉLÚ FINANSZÍROZÁSI BEVÉTELEK ÖSSZESEN:</t>
  </si>
  <si>
    <t>MŰKÖDÉSI CÉLÚ FINANSZÍROZÁSI KIADÁSOK ÖSSZESEN:</t>
  </si>
  <si>
    <t>BEVÉTELEK  ÖSSZESEN:</t>
  </si>
  <si>
    <t>Értékpapír vásárlása,visszavásárlása</t>
  </si>
  <si>
    <t>Likviditási célú hitelek törlesztése</t>
  </si>
  <si>
    <t>Rövid lejáratú hitelek törlesztése</t>
  </si>
  <si>
    <t>Hosszú lejáratú hitelek törlesztése</t>
  </si>
  <si>
    <t>Kölcsön törlesztése</t>
  </si>
  <si>
    <t>Forgatási célú értékpapírok vásárlása</t>
  </si>
  <si>
    <t>Betét elhelyezése</t>
  </si>
  <si>
    <t>MŰKÖDÉSI CÉLÚ KÖLTSÉGVETÉSI KIADÁSOK ÖSSZESEN:</t>
  </si>
  <si>
    <t>MŰKÖDÉSI CÉLÚ KÖLTSÉGVETÉSI BEVÉTELEK ÖSSZESEN:</t>
  </si>
  <si>
    <t>KIADÁSOK ÖSSZESEN:</t>
  </si>
  <si>
    <t>Felhalmozási célú támogatások államháztartáson belülről</t>
  </si>
  <si>
    <t>Egyéb felhalmozási célú bevételek</t>
  </si>
  <si>
    <t>FELHALMOZÁSI CÉLÚ KÖLTSÉGVETÉSI BEVÉTELEK ÖSSZESEN:</t>
  </si>
  <si>
    <t>Hosszú lejáratú hitelek,kölcsönök felvétele</t>
  </si>
  <si>
    <t>Rövid lejáratú hitelek,kölcsönök felvétele</t>
  </si>
  <si>
    <t>FELHALMOZÁSI CÉLÚ FINANSZÍROZÁSI BEVÉTELEK ÖSSZESEN:</t>
  </si>
  <si>
    <t>Egyéb felhalmozási kiadások</t>
  </si>
  <si>
    <t>Befektetési célú értékpapírok vásárlása</t>
  </si>
  <si>
    <t>Pénzügyi lizing kiadásai</t>
  </si>
  <si>
    <t>FELHALMOZÁSI CÉLÚ FINANSZÍROZÁSI KIADÁSOK ÖSSZESEN:</t>
  </si>
  <si>
    <t>Személyi juttatások K1</t>
  </si>
  <si>
    <t>Maradvány igénybevétele B8131</t>
  </si>
  <si>
    <t>Munkaadókat terhelő járulékok és szociális hozz.adó  K2</t>
  </si>
  <si>
    <t>Dologi kiadások K3</t>
  </si>
  <si>
    <t>Működési bevételek B4</t>
  </si>
  <si>
    <t>Működési célú támogatások államháztartáson belülről B1</t>
  </si>
  <si>
    <t>Működési célú támogatások áll.házt. belülről B1</t>
  </si>
  <si>
    <t>Önkormányzat működési támogatása (állami)B11</t>
  </si>
  <si>
    <t>Felhalmozási bevételek B5</t>
  </si>
  <si>
    <t>Ellátottak pénzbeli juttatásai K4</t>
  </si>
  <si>
    <t>Egyéb működési kiadások  K5</t>
  </si>
  <si>
    <t>Beruházások K6</t>
  </si>
  <si>
    <t>Belföldi finanszírozás kiadásai K9</t>
  </si>
  <si>
    <t>Tartalékok K512</t>
  </si>
  <si>
    <t>BVV támogatása</t>
  </si>
  <si>
    <t>Iskolaorvos</t>
  </si>
  <si>
    <t>Telekadóból</t>
  </si>
  <si>
    <t xml:space="preserve">Gépjármű adóból </t>
  </si>
  <si>
    <t>Nagy Gáspár Városi Könyvtár közalkalmazott</t>
  </si>
  <si>
    <t>január</t>
  </si>
  <si>
    <t>február</t>
  </si>
  <si>
    <t>március</t>
  </si>
  <si>
    <t>április</t>
  </si>
  <si>
    <t>május</t>
  </si>
  <si>
    <t>július</t>
  </si>
  <si>
    <t>augusztus</t>
  </si>
  <si>
    <t>szeptember</t>
  </si>
  <si>
    <t>október</t>
  </si>
  <si>
    <t>november</t>
  </si>
  <si>
    <t>december</t>
  </si>
  <si>
    <t xml:space="preserve">Munkaadókat terh.járulékok és szoc.hozz.adó  </t>
  </si>
  <si>
    <t>Hitel, kölcsöntörl. államházt. kívülre</t>
  </si>
  <si>
    <t>kiadások</t>
  </si>
  <si>
    <t>göngyölt összeg</t>
  </si>
  <si>
    <t>1.oldal</t>
  </si>
  <si>
    <t>Budakeszi Mosolyvár Bölcsöde költségvetése</t>
  </si>
  <si>
    <t>Köztemetés</t>
  </si>
  <si>
    <t>Önkormányzat összesen</t>
  </si>
  <si>
    <t>Kötelező feladat</t>
  </si>
  <si>
    <t>Önként vállalt feladat</t>
  </si>
  <si>
    <t>Állami feladat</t>
  </si>
  <si>
    <t>Összesen</t>
  </si>
  <si>
    <t>Civil szervezetek támogatása</t>
  </si>
  <si>
    <t>Mosolyvár Bölcsőde</t>
  </si>
  <si>
    <t>-</t>
  </si>
  <si>
    <t>Városi rendezvények keret</t>
  </si>
  <si>
    <t>Polgármesteri keret</t>
  </si>
  <si>
    <t>-ebből Lakásfenntartási alap</t>
  </si>
  <si>
    <t>-ebből Lakossági járdaépítési alap</t>
  </si>
  <si>
    <t>Prohászka Ottokár Gimnázium  támogatása</t>
  </si>
  <si>
    <t>Fejlesztési céltartalék</t>
  </si>
  <si>
    <t>Önkormányzat, Polgármesteri Hvatal és az Intézmények egyéb sajátos bevételeiből</t>
  </si>
  <si>
    <t>ebből: lakásépítéshez, lakásfelújításhoz nyújtott kölcsön elengedése</t>
  </si>
  <si>
    <t>ebből: ellátottak térítési díjának, kártérítésének méltányossági alapon történő elengedése</t>
  </si>
  <si>
    <t>ebből: a helyiségek, eszközök hasznosításából származó bevételből nyújtott kedvezmény, mentesség összege</t>
  </si>
  <si>
    <t>ebből. egyéb nyújtott kedvezmény vagy kölcsön elengedésének összege</t>
  </si>
  <si>
    <t>4</t>
  </si>
  <si>
    <t>6</t>
  </si>
  <si>
    <t>eredeti előirányzat</t>
  </si>
  <si>
    <t xml:space="preserve">Nem rendszeres települési támogatások  </t>
  </si>
  <si>
    <t>Rendkívüli települési támogatás</t>
  </si>
  <si>
    <t>Támogatások összesen:</t>
  </si>
  <si>
    <t>Intézmény</t>
  </si>
  <si>
    <t>9</t>
  </si>
  <si>
    <t>20.</t>
  </si>
  <si>
    <t>-ebből lekötött bankbetétek megszüntetése</t>
  </si>
  <si>
    <t>- lekötött bankbetétek megszüntetése</t>
  </si>
  <si>
    <t>- ebből pénzeszközök lekötött betétként elhelyezése</t>
  </si>
  <si>
    <t>- ebből irányítószervi támogatás</t>
  </si>
  <si>
    <t>- ebből központi irányítószervi támogatás</t>
  </si>
  <si>
    <t>tőke</t>
  </si>
  <si>
    <t xml:space="preserve">Pitypang Sport Óvoda közalkalmazott </t>
  </si>
  <si>
    <t>Budakeszi Város Önkormányzata</t>
  </si>
  <si>
    <t>1</t>
  </si>
  <si>
    <t>3</t>
  </si>
  <si>
    <t>7</t>
  </si>
  <si>
    <t>10</t>
  </si>
  <si>
    <t>MEGNEVEZÉS</t>
  </si>
  <si>
    <t>Sor-szám</t>
  </si>
  <si>
    <t>Saját bevétel és adósságot keletkeztető ügyletből eredő fizetési kötelezettség összegei</t>
  </si>
  <si>
    <t>ÖSSZESEN
F=(C+D+E)</t>
  </si>
  <si>
    <t>Helyi adóból és a települési adóból származó bevétel</t>
  </si>
  <si>
    <t>01</t>
  </si>
  <si>
    <t>Az önkormányzati vagyon és az önkormányzatot megillető vagyoni értékű jog értékesítéséből és hasznosításából származó bevétel</t>
  </si>
  <si>
    <t>02</t>
  </si>
  <si>
    <t>Osztalék, koncessziós díj és hozambevétel</t>
  </si>
  <si>
    <t>03</t>
  </si>
  <si>
    <t>Tárgyi eszköz és az immateriális jószág, részvény, részesedés, vállalat értékesítéséből vagy privatizációból származó bevétel</t>
  </si>
  <si>
    <t>04</t>
  </si>
  <si>
    <t>Bírság-, pótlék- és díjbevétel</t>
  </si>
  <si>
    <t>05</t>
  </si>
  <si>
    <t>Kezesség-, illetve garanciavállalással kapcsolatos megtérülés</t>
  </si>
  <si>
    <t>06</t>
  </si>
  <si>
    <t>Saját bevételek (01+… .+06)</t>
  </si>
  <si>
    <t>07</t>
  </si>
  <si>
    <t xml:space="preserve">Saját bevételek  (07 sor)  50%-a </t>
  </si>
  <si>
    <t>08</t>
  </si>
  <si>
    <t>09</t>
  </si>
  <si>
    <t>Tárgyévben esedékes tőke törlesztés</t>
  </si>
  <si>
    <t>Tárgyévben esedékes kamat törlesztés</t>
  </si>
  <si>
    <t>11</t>
  </si>
  <si>
    <t>Fizetési kötelezettség (10+11)</t>
  </si>
  <si>
    <t>Fizetési kötelezettséggel csökkentett saját bevétel 50%-a (07-12)</t>
  </si>
  <si>
    <t>-ebből Környezetvédelmi  alap</t>
  </si>
  <si>
    <t>-ebből egyéb közhatalmi bevételek</t>
  </si>
  <si>
    <t>- ebből fejlesztési céltartalék</t>
  </si>
  <si>
    <t>Budakeszi Polgármesteri Hivatal</t>
  </si>
  <si>
    <t>Budakeszi Bölcsöde</t>
  </si>
  <si>
    <t>Budakeszi Mosolyvár Bölcsöde</t>
  </si>
  <si>
    <t>Pitypang Sport Óvoda</t>
  </si>
  <si>
    <t>Szivárvány Óvoda</t>
  </si>
  <si>
    <t>91110 Óvodai nevelés, ellátás, szakmai feladatai</t>
  </si>
  <si>
    <t>91140 Óvodai nevelés, ellátás működtetési feladatai</t>
  </si>
  <si>
    <t>96015 Gyermekétkeztetés köznevelési intézményben</t>
  </si>
  <si>
    <t>104031 Gyermekek bölcsödei ellátás</t>
  </si>
  <si>
    <t>104035 Gyermekétkeztetés bölcsödében, fogyatékosok nappali intézményében</t>
  </si>
  <si>
    <t>82044 Könyvtári szolgáltatások</t>
  </si>
  <si>
    <t>82042 Könyvtári állomány gyarapítása, nyilvántartása</t>
  </si>
  <si>
    <t>82092 Közmuvelodés-hagyományos közösségi kulturális értékek gondozása</t>
  </si>
  <si>
    <t>11130 Önkormányzatok és önkormányzati hivatalok jogalkotó és általános igazgatási tevékenysége</t>
  </si>
  <si>
    <t>Tájékoztató - Budakeszi Város Önkormányzatának és Intézményenek költségvetési előirányzatai kormányzati funkciónként (COFOG)</t>
  </si>
  <si>
    <t>-ebből Útépítési alap</t>
  </si>
  <si>
    <t>-ebből Temetőfejlesztési alap</t>
  </si>
  <si>
    <t>12</t>
  </si>
  <si>
    <t>13</t>
  </si>
  <si>
    <t>15</t>
  </si>
  <si>
    <t>16</t>
  </si>
  <si>
    <t>-ebből Általános fejlesztési alap</t>
  </si>
  <si>
    <t>június</t>
  </si>
  <si>
    <t>-ebből Közbiztonsági, katasztrófavédelmi alap</t>
  </si>
  <si>
    <t>-ebből Egészségügyi fejlesztési alap</t>
  </si>
  <si>
    <t>Hitelösszeg</t>
  </si>
  <si>
    <t>OTP Bank 
fejlesztési hitel</t>
  </si>
  <si>
    <t>Tulajdonosi bevételek</t>
  </si>
  <si>
    <t>Budakeszi városközpont ingatla felvásárlások</t>
  </si>
  <si>
    <t>Mosolyvár Bölcsőde bővítés
VEKOP-6.1.1-15-PT1-2016-00114</t>
  </si>
  <si>
    <t>Közlekedésfejlesztési pályázat
VEKOP-5.3.2-15-2016-00032</t>
  </si>
  <si>
    <t>PM_Csapadékvíz pályázat</t>
  </si>
  <si>
    <t>Nagy Gáspár Alapítvány támogatás</t>
  </si>
  <si>
    <t>-ebből egyéb központi kezelésű előirányzattól átvett támogatások B16</t>
  </si>
  <si>
    <t>Egészséges Budapest Program eszközfejlesztés</t>
  </si>
  <si>
    <t>Budakeszi Város Német Önkormámyzat támogatása</t>
  </si>
  <si>
    <t>ebből Tájház működési támogatása</t>
  </si>
  <si>
    <t>-ebből egyéb fejezettől átvett támogatások</t>
  </si>
  <si>
    <t>Budakeszi Egészségügyi Központ</t>
  </si>
  <si>
    <t>074031 
Család és nővédelmi egészségügyi gondozás</t>
  </si>
  <si>
    <t>072210 
Járóbetegek gyógyító szakellátása</t>
  </si>
  <si>
    <t>ebből Tarkabarka Kunterbunt Óvoda támogatása</t>
  </si>
  <si>
    <t>Budakörnyéki Önkormányzati Társulásnak átadott pénzeszközök</t>
  </si>
  <si>
    <t>ebből tagdíj</t>
  </si>
  <si>
    <t>ebből orvosi ügyelet éves díj</t>
  </si>
  <si>
    <t>ebből HÍD finanszírozás</t>
  </si>
  <si>
    <t>ebből Közterület-felügyelet finanszírozás</t>
  </si>
  <si>
    <t>a</t>
  </si>
  <si>
    <t>b</t>
  </si>
  <si>
    <t>c</t>
  </si>
  <si>
    <t>d</t>
  </si>
  <si>
    <t>-ebből egyéb központi kezelésű előirányzattól átvett támogatások</t>
  </si>
  <si>
    <t>-ebből előleg 2017. évi folyósítás</t>
  </si>
  <si>
    <t>-ebből előleg 2018. évi folyósítás</t>
  </si>
  <si>
    <t>2020. évi összevont bevételei kiadásai kiemelt előirányzatonként</t>
  </si>
  <si>
    <t>2020. évi  bevételei kiadásai kiemelt előirányzatonként</t>
  </si>
  <si>
    <t>Budakeszi Város Önkormányzat 2020. évi tartalékok részletezése</t>
  </si>
  <si>
    <t>Budakeszi Város Önkormányzatának 2020. évi működési célú pénzeszköz átadása államháztartáson kívülre, civil és egyéb szervezetek részére</t>
  </si>
  <si>
    <t xml:space="preserve">Budakeszi Város Önkormányzatának 2020. évi közvetett támogatásai </t>
  </si>
  <si>
    <t>Budakeszi Város Önkormányzat 2020. évre tervezett szociális ellátásainak részletezése</t>
  </si>
  <si>
    <t>Budakeszi  Város Önkormányzat és költségvetési szervei   engedélyezett létszámkerete 2020-ban</t>
  </si>
  <si>
    <t>Budakeszi Város Önkormányzatának 2020. évi bevételi előirányzat felhasználási ütemterve</t>
  </si>
  <si>
    <t>Budakeszi Város Önkormányzatának 2020. évi kiadási előirányzat felhasználási ütemterve</t>
  </si>
  <si>
    <t>2020.évi fejlesztések, beruházások</t>
  </si>
  <si>
    <t>24.  melléklet az önkormányzat  2020. évi     költségvetéséről szóló  …./2020…….rendeletéhez</t>
  </si>
  <si>
    <t>2020. eredeti előirányzat</t>
  </si>
  <si>
    <t>Vass Miklós Alapítvány támogatása</t>
  </si>
  <si>
    <t>Cserkész Dzsembori fiatalok támogatása</t>
  </si>
  <si>
    <t>Budakeszi Város Önkormányzatának 2020. évi működési célú pénzeszköz átadása államháztartáson belülre</t>
  </si>
  <si>
    <t>Patak utca terület rendezés kiegészítés (462/2019) - Önként</t>
  </si>
  <si>
    <t>Budakörnyéki Médiaszolgáltató támogatása</t>
  </si>
  <si>
    <t>A helyi önkormányzatok törvényi előíráson alapuló befizetései</t>
  </si>
  <si>
    <t>2018. évi elszámolás különbözet</t>
  </si>
  <si>
    <t>Államháztartáson belüli megelőlegezések visszafizetése</t>
  </si>
  <si>
    <t>2018. év  teljesítés összesen:</t>
  </si>
  <si>
    <t xml:space="preserve">Budakeszi Egészségügyi Központ </t>
  </si>
  <si>
    <t>-főállású alpolgármester</t>
  </si>
  <si>
    <t>-védőnők (2020.03.01-ig)</t>
  </si>
  <si>
    <t>Budakeszi Egészségügyi Központ (2020.03.01-től)</t>
  </si>
  <si>
    <t>2020. évben várható bevételek</t>
  </si>
  <si>
    <t>Önrész 2020. évben</t>
  </si>
  <si>
    <t>A projekt kifizetésre került 2019-ben.</t>
  </si>
  <si>
    <t>Kiadások - 2020-ban esedékes</t>
  </si>
  <si>
    <t>Beruházás (bruttó érték)</t>
  </si>
  <si>
    <t>-ebből NEAKtól átvett támogatások</t>
  </si>
  <si>
    <t>-ebből fejezettől átvett támogatások</t>
  </si>
  <si>
    <t>-ebből központi kezelésű előirányzattól átvett támogatások</t>
  </si>
  <si>
    <t>Államháztartáson belüli megelőlegezések</t>
  </si>
  <si>
    <t>Beruhzás összértéke</t>
  </si>
  <si>
    <t>2</t>
  </si>
  <si>
    <t>Régi szennyvíztisztító telep bontása</t>
  </si>
  <si>
    <t>Régi szennyvíztisztító telep talajcsere</t>
  </si>
  <si>
    <t xml:space="preserve">Vállalkozói park projket </t>
  </si>
  <si>
    <t>5</t>
  </si>
  <si>
    <t>Budakeszi HRSZ 7908 út építése - Ipoly utca</t>
  </si>
  <si>
    <t>8</t>
  </si>
  <si>
    <t>PM_Piac pályázat Budakeszi piac felújítása</t>
  </si>
  <si>
    <t>Budakeszi-Farkashegyi repülőtér kerékpárút fejlesztése</t>
  </si>
  <si>
    <t>Budakeszi temető ravatalozó épület előtető</t>
  </si>
  <si>
    <t>Budakeszi Polgármesteri Hivatal légtechnika</t>
  </si>
  <si>
    <t>14</t>
  </si>
  <si>
    <t>Budakeszi Polgármesteri Hivatal eszközbeszerzések</t>
  </si>
  <si>
    <t>-ebből NEAK-tól átvett támogatások</t>
  </si>
  <si>
    <t>1.53</t>
  </si>
  <si>
    <t>Elszámolásból adódó befizetési kötelzettségek</t>
  </si>
  <si>
    <t xml:space="preserve">Fejlesztési hitel
</t>
  </si>
  <si>
    <t>2020.
tárgyév</t>
  </si>
  <si>
    <t>2021.
tárgyévet követő 
1. év</t>
  </si>
  <si>
    <t>2022.
tárgyévet követő 
2. év</t>
  </si>
  <si>
    <t>2023.
tárgyévet követő 
3. év</t>
  </si>
  <si>
    <t>2024.
tárgyévet követő 
4. év</t>
  </si>
  <si>
    <t>2025.
tárgyévet követő 
5. év</t>
  </si>
  <si>
    <t>2026.
tárgyévet követő 
6. év</t>
  </si>
  <si>
    <t>2027.
tárgyévet követő 
7. év</t>
  </si>
  <si>
    <t>2028.-2031.
tárgyévet követő 
7. évet követően</t>
  </si>
  <si>
    <t>2024-2031</t>
  </si>
  <si>
    <t>Egyéb nem intézményi juttatások</t>
  </si>
  <si>
    <t>Budakeszi Város Önkormányzatának 2020. évi hitel törlesztéssel kapcsolatos kötelezettségei</t>
  </si>
  <si>
    <t>074031
Védőnői szolgálat</t>
  </si>
  <si>
    <t>Államházt. belüli megelőleg visszafiz.</t>
  </si>
  <si>
    <t xml:space="preserve"> Iparűzési adóból 
 ( 600eFt alatti iparűzési adóalap alatt, eü szolgáltatók )</t>
  </si>
  <si>
    <t>Fejlesztési projektek kivitelezése</t>
  </si>
  <si>
    <t>Mezei Mária ház felújítása</t>
  </si>
  <si>
    <t>adatok Ft-ban</t>
  </si>
  <si>
    <t>BVV Kft. Új telephelyre költöztetése</t>
  </si>
  <si>
    <t>2020. január 1-én költségvetési létszám 
(fő - 8 óra munkaidőre vetítve)</t>
  </si>
  <si>
    <t>Kieső bevételek</t>
  </si>
  <si>
    <t>Gépjármű adó</t>
  </si>
  <si>
    <t>2020. év</t>
  </si>
  <si>
    <t>1-3 hónap tény</t>
  </si>
  <si>
    <t>Kétséges bevételek</t>
  </si>
  <si>
    <t>Ingatlan értékesítések</t>
  </si>
  <si>
    <t>Településrendezési szerz.</t>
  </si>
  <si>
    <t>EREDETI</t>
  </si>
  <si>
    <t>MÓDOSÍTOTT - TERV</t>
  </si>
  <si>
    <t>Megjegyzés</t>
  </si>
  <si>
    <t>Új orvosi rendelő építés</t>
  </si>
  <si>
    <t>HITEL</t>
  </si>
  <si>
    <t>Mivel a hitelszerződésben tárgyként az fog szerepelni, hogy az Önkorm. Által a költségvetési rendeletben meghat fejlesztések, így ez megvalósíthtó.</t>
  </si>
  <si>
    <t>Jövő évre át kellene tenni</t>
  </si>
  <si>
    <t>Átcsoportosítva orvosi rendelőre</t>
  </si>
  <si>
    <t>2020. év 
kötelező feladat
eredeti ei.</t>
  </si>
  <si>
    <t>2020. év 
önként vállalt feladat
eredeti ei.</t>
  </si>
  <si>
    <t>2020. év 
állami feladat
eredeti ei.</t>
  </si>
  <si>
    <t>2020. év összesen
eredeti ei.</t>
  </si>
  <si>
    <t>2020. év 
kötelező feladat
módosított ei.</t>
  </si>
  <si>
    <t>2020. év 
önként vállalt feladat
módosított ei.</t>
  </si>
  <si>
    <t>2020. év 
állami feladat
módosított ei.</t>
  </si>
  <si>
    <t>2020. év összesen
módosított ei.</t>
  </si>
  <si>
    <t xml:space="preserve">Fejlesztési célú hitel, kölcsönfelvétel államháztartáson kívülről </t>
  </si>
  <si>
    <t xml:space="preserve">Likviditási célú hitel, kölcsönfelvétel államháztartáson kívülről </t>
  </si>
  <si>
    <t>Fejlesztési célú hitel, kölcsön törlesztése államháztartáson kívülre</t>
  </si>
  <si>
    <t>Likviditási célú hitel, kölcsön törlesztése államháztartáson kívülre</t>
  </si>
  <si>
    <t>2020. módosított előirányzat</t>
  </si>
  <si>
    <t>Eredeti felvett hitelösszeg</t>
  </si>
  <si>
    <t>OTP Bank Fejlesztési hitel II. - eng. 2020</t>
  </si>
  <si>
    <t>OTP Bank fejlesztési hitel - I. eng: 2016</t>
  </si>
  <si>
    <t>-ebből elszámolásból adódó befizetési kötelzettségek</t>
  </si>
  <si>
    <t>-ebből NEAKtól átvett támogatások B16</t>
  </si>
  <si>
    <t>2019. év teljesítés összesen:</t>
  </si>
  <si>
    <t>2020. év I. félév előzetes teljesítés összesen:</t>
  </si>
  <si>
    <t>Sor-
szám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</si>
  <si>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</si>
  <si>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</si>
  <si>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</si>
  <si>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</si>
  <si>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</si>
  <si>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A</t>
  </si>
  <si>
    <t xml:space="preserve">B </t>
  </si>
  <si>
    <t>C</t>
  </si>
  <si>
    <t>D</t>
  </si>
  <si>
    <t>E</t>
  </si>
  <si>
    <t>F</t>
  </si>
  <si>
    <t>G</t>
  </si>
  <si>
    <t>H</t>
  </si>
  <si>
    <t>I</t>
  </si>
  <si>
    <t>J=(F+…+I)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</si>
  <si>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</si>
  <si>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</si>
  <si>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</si>
  <si>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</si>
  <si>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</si>
  <si>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</si>
  <si>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</si>
  <si>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>Kimutataás 2020. évben vállalt következő évet érintő kötelezettségekről</t>
  </si>
  <si>
    <t>Makkosmária csapadékvíz elvezetési projekt megvalósítás</t>
  </si>
  <si>
    <t>OTP Bank fejlesztési hitelek</t>
  </si>
  <si>
    <t>2018, 2020</t>
  </si>
  <si>
    <t>Bursa Hungarica ösztöndíj</t>
  </si>
  <si>
    <t>PM Vállpark pályázat megvalósítás</t>
  </si>
  <si>
    <t>2020. évi teljesítés várható</t>
  </si>
  <si>
    <t>210/2020. (VII.08.) Kt. határozata az „Önkormányzati feladatellátást szolgáló fejlesztések támogatása” - utak, járdák felújítása alcélú - pályázaton való részvételről - önerő</t>
  </si>
  <si>
    <t>Kossuth köz vis maior pályázat - önerő</t>
  </si>
  <si>
    <t>K</t>
  </si>
  <si>
    <t>L</t>
  </si>
  <si>
    <t>M</t>
  </si>
  <si>
    <t>N</t>
  </si>
  <si>
    <t>Fennálló bevétel a következő években</t>
  </si>
  <si>
    <t>O=(K+…+N)</t>
  </si>
  <si>
    <t>Ingatlan felvásárlások (Városközpont, Makkosi csapadékvíz miatti)</t>
  </si>
  <si>
    <t>A fejlesztés forrása Beruházási hitel</t>
  </si>
  <si>
    <t>Vállalkozói park projeket 2020-ban valószínűleg megvalósuló ütem</t>
  </si>
  <si>
    <t>7a</t>
  </si>
  <si>
    <t>A megvalósításnak megfelelően szétválasztára került a megvalósuló Patak utcai útfelújítás és a csapadékvíz építés</t>
  </si>
  <si>
    <t>7b</t>
  </si>
  <si>
    <t>Kett utca útfelújítás</t>
  </si>
  <si>
    <t>7c</t>
  </si>
  <si>
    <t>PM_Csapadékvíz pályázat közbeszrzés szerinti I. ütem - önrész - fejl. Hitel -+Patak utca szükséges közmű kiváltás</t>
  </si>
  <si>
    <t>Budakeszi Fő utc ivóvíz hálózat bővítés</t>
  </si>
  <si>
    <t>Új orvosi rendelő eszköz beszerzés</t>
  </si>
  <si>
    <t>Sportpark és futókör önrész</t>
  </si>
  <si>
    <t>17</t>
  </si>
  <si>
    <t>Bringapark kialakítása</t>
  </si>
  <si>
    <t>18</t>
  </si>
  <si>
    <t>19</t>
  </si>
  <si>
    <t>Intézmények eszközbeszerzései</t>
  </si>
  <si>
    <t>Fejlesztési hitellel érintett bruházások</t>
  </si>
  <si>
    <t>1.  melléklet az önkormányzat  2020. évi  költségvetéséről szóló 5/2020 (II.18.) rendeletéhez</t>
  </si>
  <si>
    <t>3.  melléklet az önkormányzat  2020. évi     költségvetéséről szóló  5/2020 (II.18.) rendeletéhez</t>
  </si>
  <si>
    <t>4.  melléklet az önkormányzat  2020. évi     költségvetéséről szóló  5/2020 (II.18.) rendeletéhez</t>
  </si>
  <si>
    <t>5.  melléklet az önkormányzat  2020. évi     költségvetéséről szóló 5/2020 (II.18.) rendeletéhez</t>
  </si>
  <si>
    <t>6.  melléklet az önkormányzat  2020. évi     költségvetéséről szóló  5/2020 (II.18.) rendeletéhez</t>
  </si>
  <si>
    <t>7.  melléklet az önkormányzat  2020. évi     költségvetéséről szóló  5/2020 (II.18.) rendeletéhez</t>
  </si>
  <si>
    <t>8.  melléklet az önkormányzat  2020. évi     költségvetéséről szóló  5/2020 (II.18.) rendeletéhez</t>
  </si>
  <si>
    <t>9.  melléklet az önkormányzat  2020. évi     költségvetéséről szóló  5/2020 (II.18.) rendeletéhez</t>
  </si>
  <si>
    <t>11. melléklet az önkormányzat 2020. évi költségvetéséről szóló  5/2020 (II.18.) rendeletéhez</t>
  </si>
  <si>
    <t>12. melléklet az önkormányzat 2020. évi költségvetéséről szóló  5/2020 (II.18.) rendeletéhez</t>
  </si>
  <si>
    <t>13. melléklet az önkormányzat  2020.évi költségvetéséről szóló 5/2020 (II.18.) rendeletéhez</t>
  </si>
  <si>
    <t>14/a.  melléklet az önkormányzat  2020. évi költségvetéséről szóló 5/2020 (II.18.) rendeletéhez</t>
  </si>
  <si>
    <t>14/b.  melléklet az önkormányzat  2020. évi költségvetéséről szóló 5/2020 (II.18.) rendeletéhez</t>
  </si>
  <si>
    <t>15. melléklet az önkormányzat  2020. évi költségvetéséről szóló  5/2020 (II.18.) rendeletéhez</t>
  </si>
  <si>
    <t>16. melléklet az önkormányzat  2020. évi költségvetéséről szóló 5/2020 (II.18.) rendeletéhez</t>
  </si>
  <si>
    <t>17. melléklet az önkormányzat  2020. évi költségvetéséről szóló 5/2020 (II.18.) rendeletéhez</t>
  </si>
  <si>
    <t>18. melléklet az önkormányzat  2020. évi költségvetéséről szóló  5/2020 (II.18.) rendeletéhez</t>
  </si>
  <si>
    <t>19. melléklet az önkormányzat 2020. évi költségvetéséről  szóló 5/2020 (II.18.) rendeletéhez</t>
  </si>
  <si>
    <t>20. melléklet az önkormányzat 2020. évi költségvetéséről  szóló 5/2020 (II.18.) rendeletéhez</t>
  </si>
  <si>
    <t>21. melléklet az önkormányzat 2020. évi költségvetéséről szóló 5/2020 (II.18.) rendeletéhez</t>
  </si>
  <si>
    <t>22. melléklet az önkormányzat 2020.  évi költségvetéséről szóló 5/2020 (II.18.) rendeletéhez</t>
  </si>
  <si>
    <t>25. melléklet az önkormányzat 2020.  évi költségvetéséről szóló 5/2020 (II.18.) rendeletéhez</t>
  </si>
  <si>
    <t>2. számú melléklet</t>
  </si>
  <si>
    <t>2.  sz. melléklet az önkormányzat  2020. évi költségvetéséről szóló 5/2020 (II.18.) rendeletéhez</t>
  </si>
  <si>
    <t>1. sz. melléklet</t>
  </si>
  <si>
    <t>10. sz. melléklet</t>
  </si>
  <si>
    <t>3. sz. melléklet</t>
  </si>
  <si>
    <t>4. sz. melléklet</t>
  </si>
  <si>
    <t>5. sz. melléklet</t>
  </si>
  <si>
    <t>6. sz. melléklet</t>
  </si>
  <si>
    <t>8. sz. melléklet</t>
  </si>
  <si>
    <t>7. sz. melléklet</t>
  </si>
  <si>
    <t>9. sz. melléklet</t>
  </si>
  <si>
    <t>11. sz. melléklet</t>
  </si>
  <si>
    <t>12. sz. melléklet</t>
  </si>
  <si>
    <t>13. sz. melléklet</t>
  </si>
  <si>
    <t>14/a. sz. melléklet</t>
  </si>
  <si>
    <t>14/b. sz. melléklet</t>
  </si>
  <si>
    <t>15. sz. melléklet</t>
  </si>
  <si>
    <t>16. sz. melléklet</t>
  </si>
  <si>
    <t>17. sz. melléklet</t>
  </si>
  <si>
    <t>18. sz. melléklet</t>
  </si>
  <si>
    <t>24. sz. melléklet</t>
  </si>
  <si>
    <t>2020. év 
kötelező feladat
módosított ei.
I.</t>
  </si>
  <si>
    <t>2020. év 
kötelező feladat
módosított ei.
II.</t>
  </si>
  <si>
    <t>2020. év 
kötelező feladat
módosított ei.
III.</t>
  </si>
  <si>
    <t>2020. év összesen
módosított ei.
III.</t>
  </si>
  <si>
    <t>2020. év összesen
módosított ei.
I.</t>
  </si>
  <si>
    <t>2020. év összesen
módosított ei.
II.</t>
  </si>
  <si>
    <t>2020. év 
önként vállalt feladat
módosított ei.
I.</t>
  </si>
  <si>
    <t>2020. év 
önként vállalt feladat
módosított ei.
II.</t>
  </si>
  <si>
    <t>2020. év 
önként vállalt feladat
módosított ei.
III.</t>
  </si>
  <si>
    <t>-ebből iparűzési adó (B351)</t>
  </si>
  <si>
    <t>-ebből építményadó (B34)</t>
  </si>
  <si>
    <t>-ebből telekadó (B34)</t>
  </si>
  <si>
    <t>1.54</t>
  </si>
  <si>
    <t>Egyéb működési célú támogatások</t>
  </si>
  <si>
    <t>Felújítás</t>
  </si>
  <si>
    <t>Beruházás</t>
  </si>
  <si>
    <t>Önkormányzat</t>
  </si>
  <si>
    <t>MÓDOSÍTOTT</t>
  </si>
  <si>
    <t>-ebből idegenforgalmi adó (B355)</t>
  </si>
  <si>
    <t>-ebből gépjárműadó (B354)</t>
  </si>
  <si>
    <t>-ebből egyéb közhatalmi bevételek (B36)</t>
  </si>
  <si>
    <t>ebből működési támogatás</t>
  </si>
  <si>
    <t>Egyéb felújítás</t>
  </si>
  <si>
    <t>4.1</t>
  </si>
  <si>
    <t>4.2</t>
  </si>
  <si>
    <t>4.3</t>
  </si>
  <si>
    <t>4.4</t>
  </si>
  <si>
    <t>4.5</t>
  </si>
  <si>
    <t>4.6</t>
  </si>
  <si>
    <t>Cserkész Alapítvány</t>
  </si>
  <si>
    <t>Borostyán Idősklub</t>
  </si>
  <si>
    <t>Budakörnyéki Médiaszolgáltató</t>
  </si>
  <si>
    <t>Budakezsi Gyermekekért Alapítvány</t>
  </si>
  <si>
    <t>Önkéntes Tűzoltóság</t>
  </si>
  <si>
    <t>Református Emléktemplom</t>
  </si>
  <si>
    <t>Vadaspark</t>
  </si>
  <si>
    <t>BVV</t>
  </si>
  <si>
    <t>Polgárőr</t>
  </si>
  <si>
    <t>Dr. Bartos</t>
  </si>
  <si>
    <t>Dr. Nazim</t>
  </si>
  <si>
    <t>Vass M. Alapítvány</t>
  </si>
  <si>
    <t>Erkel</t>
  </si>
  <si>
    <t>Fenyőgyöngye Nyugdíjasklub</t>
  </si>
  <si>
    <t>Jobb Kor</t>
  </si>
  <si>
    <t>Magyar Jamboree Alapítv.</t>
  </si>
  <si>
    <t>Nagy Gáspár</t>
  </si>
  <si>
    <t>Prohászka Ottokár</t>
  </si>
  <si>
    <t>Segítő Kapcsolatok</t>
  </si>
  <si>
    <t>Viadal</t>
  </si>
  <si>
    <t>Wudimed</t>
  </si>
  <si>
    <t>2021. év összesen
módosított ei.
III.</t>
  </si>
  <si>
    <t>10.  melléklet az önkormányzat  2020. évi     költségvetéséről szóló  5/2020. (II.18.) rendeletéhez</t>
  </si>
  <si>
    <t>2020. év előzetes teljesítés összesen:</t>
  </si>
  <si>
    <t>-ebből elvonások, társulásoktól átvett támogatások</t>
  </si>
  <si>
    <t>Knáb tornacsarnok felújítás támogatása</t>
  </si>
  <si>
    <t>Módosított előirányzat</t>
  </si>
  <si>
    <t>Budakeszi Gazdaságvédelmi alap (Covid felajánlás)</t>
  </si>
  <si>
    <t>2020. eredeti ei. kötelező feladat</t>
  </si>
  <si>
    <t>2020.év mód.  ei.  kötelező feladat</t>
  </si>
  <si>
    <t>2020.eredeti ei. önként vállalt feladat</t>
  </si>
  <si>
    <t>2020.év mód.ei. önként vállalt feladat</t>
  </si>
  <si>
    <t>2020.eredeti ei.  állami feladat</t>
  </si>
  <si>
    <t>2020.eredeti előiányzat összesen:</t>
  </si>
  <si>
    <t>2020.év  módósított ei. összesen:</t>
  </si>
  <si>
    <t>2020. év  módósított ei. összesen:</t>
  </si>
  <si>
    <t>Egyéb működési célú kiadások (tartalékkal együtt)</t>
  </si>
  <si>
    <t>FELHALMOZÁSI CÉLÚ KÖLTSÉGVETÉSI KIADÁSOK ÖSSZESEN:</t>
  </si>
  <si>
    <t>7.1</t>
  </si>
  <si>
    <t>Fejlesztési hitelek törlesztése</t>
  </si>
  <si>
    <t>7.2</t>
  </si>
  <si>
    <t>7.3</t>
  </si>
  <si>
    <t>7.4</t>
  </si>
  <si>
    <t>Belső finanszírozási bevételek</t>
  </si>
  <si>
    <t>7.5</t>
  </si>
  <si>
    <t>8.1</t>
  </si>
  <si>
    <t>Likviditási célú hitelek kölcsönök felvétele</t>
  </si>
  <si>
    <t>8.2</t>
  </si>
  <si>
    <t>ÁH belüli előlegek visszafizetése</t>
  </si>
  <si>
    <t>Fejlesztési célú hitelek,kölcsönök felvétele</t>
  </si>
  <si>
    <t>8.3</t>
  </si>
  <si>
    <t>Finanszírozás nélkül</t>
  </si>
  <si>
    <t>Működési bevételek mindösszesen</t>
  </si>
  <si>
    <t>Működési kiadások mindösszesen</t>
  </si>
  <si>
    <t>Felhalmozási bevételek mindösszesen:</t>
  </si>
  <si>
    <t>Felhalmozási kiadások mindösszesen:</t>
  </si>
  <si>
    <t>Budakeszi Város Önkormányzat összesített 2020. évi működési  bevételei</t>
  </si>
  <si>
    <t>Budakeszi Város Önkormányzat összesített 2020. évi működési kiadásai</t>
  </si>
  <si>
    <t>Budakeszi Város Önkormányzat összesített 2020. évi felhalmozási  bevételei</t>
  </si>
  <si>
    <t>Budakeszi Város Önkormányzat összesített 2020. évi felhalmozási  kiadásai</t>
  </si>
  <si>
    <t>23. melléklet az 5/2020. (II.18.)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</si>
</sst>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Ft&quot;_-;\-* #,##0.00\ &quot;Ft&quot;_-;_-* &quot;-&quot;??\ &quot;Ft&quot;_-;_-@_-"/>
    <numFmt numFmtId="164" formatCode="_-* #,##0.00\ _F_t_-;\-* #,##0.00\ _F_t_-;_-* &quot;-&quot;??\ _F_t_-;_-@_-"/>
    <numFmt numFmtId="165" formatCode="#,##0.0"/>
    <numFmt numFmtId="166" formatCode="_-* #,##0\ _F_t_-;\-* #,##0\ _F_t_-;_-* &quot;-&quot;??\ _F_t_-;_-@_-"/>
    <numFmt numFmtId="167" formatCode="0&quot;.&quot;"/>
    <numFmt numFmtId="168" formatCode="_-* #,##0.0\ _F_t_-;\-* #,##0.0\ _F_t_-;_-* &quot;-&quot;??\ _F_t_-;_-@_-"/>
    <numFmt numFmtId="169" formatCode="#,###"/>
    <numFmt numFmtId="170" formatCode="#,##0_ ;\-#,##0\ "/>
  </numFmts>
  <fonts count="7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0"/>
      <name val="Calibri"/>
      <family val="2"/>
      <charset val="238"/>
    </font>
    <font>
      <sz val="10"/>
      <name val="Arial"/>
      <family val="2"/>
      <charset val="238"/>
    </font>
    <font>
      <i/>
      <sz val="8"/>
      <color indexed="8"/>
      <name val="Calibri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i/>
      <sz val="8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sz val="7"/>
      <name val="Calibri"/>
      <family val="2"/>
      <charset val="238"/>
    </font>
    <font>
      <i/>
      <sz val="10"/>
      <color indexed="8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i/>
      <sz val="8"/>
      <color indexed="8"/>
      <name val="Calibri"/>
      <family val="2"/>
      <charset val="238"/>
      <scheme val="minor"/>
    </font>
    <font>
      <i/>
      <sz val="8"/>
      <color indexed="8"/>
      <name val="Calibri"/>
      <family val="2"/>
      <charset val="238"/>
      <scheme val="minor"/>
    </font>
    <font>
      <i/>
      <sz val="9"/>
      <color indexed="8"/>
      <name val="Calibri"/>
      <family val="2"/>
      <charset val="238"/>
    </font>
    <font>
      <b/>
      <i/>
      <sz val="9"/>
      <color indexed="8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color rgb="FF7030A0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color rgb="FFC00000"/>
      <name val="Times New Roman"/>
      <family val="1"/>
      <charset val="238"/>
    </font>
    <font>
      <sz val="8"/>
      <color rgb="FF0070C0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8"/>
      <color rgb="FF0070C0"/>
      <name val="Times New Roman"/>
      <family val="1"/>
      <charset val="238"/>
    </font>
    <font>
      <b/>
      <sz val="8"/>
      <color rgb="FF7030A0"/>
      <name val="Times New Roman"/>
      <family val="1"/>
      <charset val="238"/>
    </font>
    <font>
      <b/>
      <sz val="8"/>
      <color rgb="FFC00000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1"/>
      <color rgb="FF0070C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color rgb="FF7030A0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color rgb="FF0070C0"/>
      <name val="Times New Roman"/>
      <family val="1"/>
      <charset val="238"/>
    </font>
    <font>
      <b/>
      <sz val="9"/>
      <color rgb="FF7030A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7030A0"/>
      <name val="Times New Roman"/>
      <family val="1"/>
      <charset val="238"/>
    </font>
    <font>
      <b/>
      <sz val="9"/>
      <color rgb="FFC0000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rgb="FFC00000"/>
      <name val="Times New Roman"/>
      <family val="1"/>
      <charset val="238"/>
    </font>
    <font>
      <b/>
      <sz val="11"/>
      <color rgb="FF0070C0"/>
      <name val="Times New Roman"/>
      <family val="1"/>
      <charset val="238"/>
    </font>
    <font>
      <b/>
      <sz val="11"/>
      <color rgb="FF7030A0"/>
      <name val="Times New Roman"/>
      <family val="1"/>
      <charset val="238"/>
    </font>
    <font>
      <b/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0"/>
      <color indexed="8"/>
      <name val="Calibri"/>
      <family val="2"/>
      <charset val="238"/>
    </font>
    <font>
      <sz val="10"/>
      <color rgb="FFFF0000"/>
      <name val="Calibri"/>
      <family val="2"/>
      <charset val="238"/>
    </font>
    <font>
      <sz val="8"/>
      <color rgb="FFFF0000"/>
      <name val="Calibri"/>
      <family val="2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Horizontal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16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/>
    <xf numFmtId="164" fontId="1" fillId="0" borderId="0" applyFont="0" applyFill="0" applyBorder="0" applyAlignment="0" applyProtection="0"/>
  </cellStyleXfs>
  <cellXfs count="973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0" fillId="0" borderId="0" xfId="0" applyBorder="1"/>
    <xf numFmtId="0" fontId="0" fillId="0" borderId="0" xfId="0" applyFill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Font="1"/>
    <xf numFmtId="2" fontId="0" fillId="0" borderId="0" xfId="0" applyNumberFormat="1" applyFont="1" applyAlignment="1">
      <alignment vertical="center" wrapText="1"/>
    </xf>
    <xf numFmtId="3" fontId="0" fillId="0" borderId="0" xfId="0" applyNumberFormat="1"/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3" fontId="11" fillId="0" borderId="1" xfId="0" applyNumberFormat="1" applyFont="1" applyBorder="1"/>
    <xf numFmtId="49" fontId="11" fillId="0" borderId="1" xfId="0" applyNumberFormat="1" applyFont="1" applyBorder="1" applyAlignment="1">
      <alignment wrapText="1"/>
    </xf>
    <xf numFmtId="49" fontId="9" fillId="0" borderId="1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3" fontId="6" fillId="0" borderId="0" xfId="0" applyNumberFormat="1" applyFont="1" applyBorder="1"/>
    <xf numFmtId="3" fontId="0" fillId="0" borderId="0" xfId="0" applyNumberFormat="1" applyBorder="1"/>
    <xf numFmtId="0" fontId="11" fillId="0" borderId="1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3" fontId="9" fillId="0" borderId="0" xfId="0" applyNumberFormat="1" applyFont="1" applyFill="1" applyBorder="1"/>
    <xf numFmtId="0" fontId="11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horizontal="center"/>
    </xf>
    <xf numFmtId="3" fontId="12" fillId="0" borderId="1" xfId="0" applyNumberFormat="1" applyFont="1" applyBorder="1"/>
    <xf numFmtId="0" fontId="12" fillId="0" borderId="0" xfId="0" applyFont="1"/>
    <xf numFmtId="49" fontId="9" fillId="0" borderId="1" xfId="0" applyNumberFormat="1" applyFont="1" applyBorder="1"/>
    <xf numFmtId="0" fontId="12" fillId="0" borderId="0" xfId="0" applyFont="1" applyAlignment="1">
      <alignment horizontal="right"/>
    </xf>
    <xf numFmtId="3" fontId="14" fillId="0" borderId="0" xfId="0" applyNumberFormat="1" applyFont="1" applyBorder="1"/>
    <xf numFmtId="0" fontId="0" fillId="0" borderId="0" xfId="0" applyFont="1" applyBorder="1"/>
    <xf numFmtId="3" fontId="13" fillId="0" borderId="0" xfId="0" applyNumberFormat="1" applyFont="1" applyBorder="1"/>
    <xf numFmtId="49" fontId="9" fillId="0" borderId="1" xfId="0" applyNumberFormat="1" applyFont="1" applyBorder="1" applyAlignment="1">
      <alignment horizontal="center" vertical="center"/>
    </xf>
    <xf numFmtId="0" fontId="13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49" fontId="11" fillId="0" borderId="0" xfId="0" applyNumberFormat="1" applyFont="1" applyBorder="1" applyAlignment="1">
      <alignment wrapText="1"/>
    </xf>
    <xf numFmtId="3" fontId="11" fillId="0" borderId="0" xfId="0" applyNumberFormat="1" applyFont="1" applyBorder="1"/>
    <xf numFmtId="49" fontId="9" fillId="0" borderId="0" xfId="0" applyNumberFormat="1" applyFont="1" applyBorder="1" applyAlignment="1">
      <alignment wrapText="1"/>
    </xf>
    <xf numFmtId="3" fontId="9" fillId="0" borderId="0" xfId="0" applyNumberFormat="1" applyFont="1" applyBorder="1"/>
    <xf numFmtId="49" fontId="5" fillId="0" borderId="0" xfId="0" applyNumberFormat="1" applyFont="1" applyBorder="1" applyAlignment="1">
      <alignment wrapText="1"/>
    </xf>
    <xf numFmtId="49" fontId="10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/>
    <xf numFmtId="3" fontId="12" fillId="0" borderId="0" xfId="0" applyNumberFormat="1" applyFont="1" applyBorder="1"/>
    <xf numFmtId="0" fontId="9" fillId="0" borderId="0" xfId="0" applyFont="1"/>
    <xf numFmtId="3" fontId="9" fillId="0" borderId="1" xfId="0" applyNumberFormat="1" applyFont="1" applyBorder="1"/>
    <xf numFmtId="0" fontId="0" fillId="0" borderId="0" xfId="0" applyBorder="1"/>
    <xf numFmtId="3" fontId="0" fillId="0" borderId="0" xfId="0" applyNumberFormat="1" applyBorder="1"/>
    <xf numFmtId="0" fontId="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4" fillId="0" borderId="0" xfId="0" applyFont="1" applyBorder="1"/>
    <xf numFmtId="0" fontId="1" fillId="0" borderId="0" xfId="0" applyFont="1" applyBorder="1"/>
    <xf numFmtId="3" fontId="9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0" fillId="0" borderId="1" xfId="0" applyFont="1" applyBorder="1"/>
    <xf numFmtId="0" fontId="11" fillId="0" borderId="0" xfId="0" applyFont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3" fontId="9" fillId="0" borderId="0" xfId="0" applyNumberFormat="1" applyFont="1" applyBorder="1" applyAlignment="1">
      <alignment wrapText="1"/>
    </xf>
    <xf numFmtId="0" fontId="14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0" fillId="0" borderId="0" xfId="0" applyFont="1" applyBorder="1"/>
    <xf numFmtId="3" fontId="14" fillId="0" borderId="0" xfId="0" applyNumberFormat="1" applyFont="1" applyBorder="1"/>
    <xf numFmtId="0" fontId="12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7" fillId="0" borderId="1" xfId="0" applyFont="1" applyBorder="1"/>
    <xf numFmtId="3" fontId="16" fillId="0" borderId="1" xfId="0" applyNumberFormat="1" applyFont="1" applyBorder="1"/>
    <xf numFmtId="3" fontId="17" fillId="0" borderId="1" xfId="0" applyNumberFormat="1" applyFont="1" applyBorder="1"/>
    <xf numFmtId="3" fontId="11" fillId="0" borderId="1" xfId="0" applyNumberFormat="1" applyFont="1" applyBorder="1" applyAlignment="1">
      <alignment vertical="center" wrapText="1"/>
    </xf>
    <xf numFmtId="3" fontId="9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6" fillId="0" borderId="0" xfId="0" applyFont="1" applyAlignment="1"/>
    <xf numFmtId="49" fontId="11" fillId="0" borderId="1" xfId="0" applyNumberFormat="1" applyFont="1" applyBorder="1"/>
    <xf numFmtId="0" fontId="16" fillId="0" borderId="1" xfId="0" applyFont="1" applyBorder="1" applyAlignment="1">
      <alignment horizontal="center"/>
    </xf>
    <xf numFmtId="3" fontId="0" fillId="0" borderId="1" xfId="0" applyNumberFormat="1" applyBorder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9" fontId="11" fillId="0" borderId="1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/>
    <xf numFmtId="0" fontId="9" fillId="0" borderId="0" xfId="0" applyFont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49" fontId="16" fillId="0" borderId="0" xfId="0" applyNumberFormat="1" applyFont="1" applyBorder="1" applyAlignment="1">
      <alignment wrapText="1"/>
    </xf>
    <xf numFmtId="3" fontId="16" fillId="0" borderId="0" xfId="0" applyNumberFormat="1" applyFont="1" applyBorder="1"/>
    <xf numFmtId="0" fontId="17" fillId="0" borderId="0" xfId="0" applyFont="1" applyBorder="1" applyAlignment="1">
      <alignment wrapText="1"/>
    </xf>
    <xf numFmtId="3" fontId="17" fillId="0" borderId="0" xfId="0" applyNumberFormat="1" applyFont="1" applyBorder="1"/>
    <xf numFmtId="0" fontId="9" fillId="0" borderId="1" xfId="0" applyFont="1" applyBorder="1" applyAlignment="1"/>
    <xf numFmtId="0" fontId="9" fillId="0" borderId="1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" xfId="0" applyFont="1" applyFill="1" applyBorder="1"/>
    <xf numFmtId="0" fontId="10" fillId="0" borderId="0" xfId="0" applyFont="1" applyAlignment="1">
      <alignment horizontal="center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20" fillId="2" borderId="0" xfId="0" applyFont="1" applyFill="1" applyBorder="1" applyAlignment="1">
      <alignment wrapText="1"/>
    </xf>
    <xf numFmtId="3" fontId="12" fillId="0" borderId="0" xfId="0" applyNumberFormat="1" applyFont="1" applyBorder="1" applyAlignment="1"/>
    <xf numFmtId="3" fontId="20" fillId="2" borderId="0" xfId="0" applyNumberFormat="1" applyFont="1" applyFill="1" applyBorder="1" applyAlignment="1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3" fontId="16" fillId="0" borderId="1" xfId="0" applyNumberFormat="1" applyFont="1" applyBorder="1" applyAlignment="1"/>
    <xf numFmtId="3" fontId="16" fillId="0" borderId="1" xfId="0" applyNumberFormat="1" applyFont="1" applyBorder="1" applyAlignment="1">
      <alignment vertical="center"/>
    </xf>
    <xf numFmtId="3" fontId="9" fillId="2" borderId="1" xfId="0" applyNumberFormat="1" applyFont="1" applyFill="1" applyBorder="1"/>
    <xf numFmtId="0" fontId="19" fillId="0" borderId="0" xfId="0" applyFont="1" applyAlignment="1">
      <alignment horizontal="center" wrapText="1"/>
    </xf>
    <xf numFmtId="0" fontId="0" fillId="0" borderId="6" xfId="0" applyBorder="1"/>
    <xf numFmtId="0" fontId="9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3" fontId="17" fillId="0" borderId="1" xfId="0" applyNumberFormat="1" applyFont="1" applyBorder="1" applyAlignment="1"/>
    <xf numFmtId="3" fontId="11" fillId="0" borderId="5" xfId="0" applyNumberFormat="1" applyFont="1" applyBorder="1"/>
    <xf numFmtId="3" fontId="0" fillId="0" borderId="0" xfId="0" applyNumberFormat="1" applyFill="1" applyBorder="1"/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3" fontId="11" fillId="0" borderId="1" xfId="0" applyNumberFormat="1" applyFont="1" applyBorder="1"/>
    <xf numFmtId="0" fontId="9" fillId="0" borderId="1" xfId="0" applyFont="1" applyBorder="1"/>
    <xf numFmtId="0" fontId="11" fillId="0" borderId="1" xfId="0" applyFont="1" applyFill="1" applyBorder="1"/>
    <xf numFmtId="3" fontId="11" fillId="0" borderId="1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/>
    <xf numFmtId="0" fontId="11" fillId="0" borderId="1" xfId="0" applyFont="1" applyBorder="1" applyAlignment="1">
      <alignment horizontal="center"/>
    </xf>
    <xf numFmtId="49" fontId="9" fillId="0" borderId="1" xfId="0" applyNumberFormat="1" applyFont="1" applyBorder="1"/>
    <xf numFmtId="165" fontId="9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16" fillId="0" borderId="1" xfId="0" applyFont="1" applyBorder="1"/>
    <xf numFmtId="0" fontId="11" fillId="0" borderId="1" xfId="0" applyFont="1" applyBorder="1"/>
    <xf numFmtId="165" fontId="1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0" fontId="11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3" fontId="17" fillId="0" borderId="1" xfId="0" applyNumberFormat="1" applyFont="1" applyBorder="1" applyAlignment="1">
      <alignment vertical="center"/>
    </xf>
    <xf numFmtId="49" fontId="11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right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3" fontId="5" fillId="0" borderId="0" xfId="0" applyNumberFormat="1" applyFont="1" applyBorder="1"/>
    <xf numFmtId="0" fontId="9" fillId="0" borderId="0" xfId="0" applyFont="1" applyBorder="1" applyAlignment="1"/>
    <xf numFmtId="49" fontId="22" fillId="0" borderId="1" xfId="0" applyNumberFormat="1" applyFont="1" applyBorder="1" applyAlignment="1">
      <alignment wrapText="1"/>
    </xf>
    <xf numFmtId="3" fontId="22" fillId="0" borderId="1" xfId="0" applyNumberFormat="1" applyFont="1" applyBorder="1"/>
    <xf numFmtId="3" fontId="24" fillId="0" borderId="1" xfId="0" applyNumberFormat="1" applyFont="1" applyBorder="1"/>
    <xf numFmtId="0" fontId="15" fillId="0" borderId="1" xfId="0" applyFont="1" applyBorder="1"/>
    <xf numFmtId="3" fontId="11" fillId="0" borderId="1" xfId="0" applyNumberFormat="1" applyFont="1" applyFill="1" applyBorder="1"/>
    <xf numFmtId="0" fontId="16" fillId="0" borderId="5" xfId="0" applyFont="1" applyBorder="1" applyAlignment="1"/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3" fontId="9" fillId="0" borderId="9" xfId="0" applyNumberFormat="1" applyFont="1" applyFill="1" applyBorder="1"/>
    <xf numFmtId="3" fontId="16" fillId="0" borderId="9" xfId="0" applyNumberFormat="1" applyFont="1" applyFill="1" applyBorder="1"/>
    <xf numFmtId="0" fontId="15" fillId="0" borderId="0" xfId="0" applyFont="1"/>
    <xf numFmtId="0" fontId="0" fillId="0" borderId="0" xfId="0"/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Border="1" applyAlignment="1"/>
    <xf numFmtId="49" fontId="9" fillId="0" borderId="5" xfId="0" applyNumberFormat="1" applyFont="1" applyBorder="1" applyAlignment="1">
      <alignment wrapText="1"/>
    </xf>
    <xf numFmtId="49" fontId="11" fillId="0" borderId="5" xfId="0" applyNumberFormat="1" applyFont="1" applyBorder="1" applyAlignment="1">
      <alignment wrapText="1"/>
    </xf>
    <xf numFmtId="3" fontId="9" fillId="0" borderId="4" xfId="0" applyNumberFormat="1" applyFont="1" applyBorder="1"/>
    <xf numFmtId="3" fontId="16" fillId="0" borderId="10" xfId="0" applyNumberFormat="1" applyFont="1" applyBorder="1"/>
    <xf numFmtId="3" fontId="12" fillId="0" borderId="10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3" fontId="11" fillId="0" borderId="11" xfId="0" applyNumberFormat="1" applyFont="1" applyBorder="1"/>
    <xf numFmtId="3" fontId="9" fillId="0" borderId="10" xfId="0" applyNumberFormat="1" applyFont="1" applyBorder="1"/>
    <xf numFmtId="3" fontId="11" fillId="0" borderId="14" xfId="0" applyNumberFormat="1" applyFont="1" applyBorder="1"/>
    <xf numFmtId="3" fontId="11" fillId="0" borderId="10" xfId="0" applyNumberFormat="1" applyFont="1" applyBorder="1"/>
    <xf numFmtId="3" fontId="9" fillId="0" borderId="12" xfId="0" applyNumberFormat="1" applyFont="1" applyBorder="1"/>
    <xf numFmtId="3" fontId="9" fillId="0" borderId="13" xfId="0" applyNumberFormat="1" applyFont="1" applyBorder="1"/>
    <xf numFmtId="3" fontId="9" fillId="0" borderId="16" xfId="0" applyNumberFormat="1" applyFont="1" applyBorder="1"/>
    <xf numFmtId="49" fontId="9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wrapText="1"/>
    </xf>
    <xf numFmtId="49" fontId="9" fillId="0" borderId="11" xfId="0" applyNumberFormat="1" applyFont="1" applyBorder="1" applyAlignment="1">
      <alignment wrapText="1"/>
    </xf>
    <xf numFmtId="49" fontId="16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wrapText="1"/>
    </xf>
    <xf numFmtId="0" fontId="0" fillId="0" borderId="18" xfId="0" applyBorder="1"/>
    <xf numFmtId="49" fontId="11" fillId="0" borderId="14" xfId="0" applyNumberFormat="1" applyFont="1" applyBorder="1" applyAlignment="1">
      <alignment wrapText="1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wrapText="1"/>
    </xf>
    <xf numFmtId="3" fontId="16" fillId="0" borderId="20" xfId="0" applyNumberFormat="1" applyFont="1" applyBorder="1"/>
    <xf numFmtId="3" fontId="9" fillId="0" borderId="8" xfId="0" applyNumberFormat="1" applyFont="1" applyBorder="1"/>
    <xf numFmtId="3" fontId="9" fillId="0" borderId="22" xfId="0" applyNumberFormat="1" applyFont="1" applyBorder="1"/>
    <xf numFmtId="3" fontId="11" fillId="0" borderId="21" xfId="0" applyNumberFormat="1" applyFont="1" applyBorder="1"/>
    <xf numFmtId="3" fontId="9" fillId="0" borderId="20" xfId="0" applyNumberFormat="1" applyFont="1" applyBorder="1"/>
    <xf numFmtId="0" fontId="11" fillId="0" borderId="2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/>
    </xf>
    <xf numFmtId="49" fontId="9" fillId="0" borderId="21" xfId="0" applyNumberFormat="1" applyFont="1" applyBorder="1" applyAlignment="1">
      <alignment horizontal="left" vertical="center" wrapText="1"/>
    </xf>
    <xf numFmtId="3" fontId="16" fillId="0" borderId="20" xfId="0" applyNumberFormat="1" applyFont="1" applyBorder="1" applyAlignment="1"/>
    <xf numFmtId="3" fontId="12" fillId="0" borderId="20" xfId="0" applyNumberFormat="1" applyFont="1" applyBorder="1"/>
    <xf numFmtId="3" fontId="16" fillId="0" borderId="8" xfId="0" applyNumberFormat="1" applyFont="1" applyBorder="1" applyAlignment="1"/>
    <xf numFmtId="0" fontId="12" fillId="0" borderId="1" xfId="7" applyNumberFormat="1" applyFont="1" applyBorder="1"/>
    <xf numFmtId="165" fontId="11" fillId="0" borderId="1" xfId="0" applyNumberFormat="1" applyFont="1" applyFill="1" applyBorder="1"/>
    <xf numFmtId="49" fontId="9" fillId="0" borderId="5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66" fontId="5" fillId="0" borderId="1" xfId="6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/>
    </xf>
    <xf numFmtId="0" fontId="15" fillId="0" borderId="0" xfId="0" applyFont="1" applyBorder="1"/>
    <xf numFmtId="3" fontId="9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/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2" fillId="0" borderId="0" xfId="0" applyFont="1" applyBorder="1" applyAlignment="1">
      <alignment vertical="center"/>
    </xf>
    <xf numFmtId="0" fontId="27" fillId="0" borderId="1" xfId="0" applyFont="1" applyBorder="1" applyAlignment="1">
      <alignment horizontal="center" vertical="center" wrapText="1"/>
    </xf>
    <xf numFmtId="3" fontId="27" fillId="0" borderId="1" xfId="0" applyNumberFormat="1" applyFont="1" applyFill="1" applyBorder="1"/>
    <xf numFmtId="3" fontId="27" fillId="0" borderId="1" xfId="0" applyNumberFormat="1" applyFont="1" applyBorder="1"/>
    <xf numFmtId="0" fontId="27" fillId="0" borderId="1" xfId="0" applyFont="1" applyFill="1" applyBorder="1" applyAlignment="1">
      <alignment horizontal="center" vertical="center" wrapText="1"/>
    </xf>
    <xf numFmtId="0" fontId="28" fillId="0" borderId="1" xfId="0" applyFont="1" applyBorder="1"/>
    <xf numFmtId="167" fontId="11" fillId="0" borderId="1" xfId="0" applyNumberFormat="1" applyFont="1" applyBorder="1" applyAlignment="1" applyProtection="1">
      <alignment horizontal="center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 hidden="1"/>
    </xf>
    <xf numFmtId="0" fontId="29" fillId="0" borderId="1" xfId="8" applyFont="1" applyBorder="1" applyAlignment="1" applyProtection="1">
      <alignment vertical="center"/>
      <protection locked="0" hidden="1"/>
    </xf>
    <xf numFmtId="49" fontId="9" fillId="0" borderId="1" xfId="0" applyNumberFormat="1" applyFont="1" applyBorder="1" applyAlignment="1" applyProtection="1">
      <alignment horizontal="center" vertical="center" wrapText="1"/>
      <protection locked="0" hidden="1"/>
    </xf>
    <xf numFmtId="164" fontId="9" fillId="0" borderId="1" xfId="6" applyFont="1" applyBorder="1" applyAlignment="1" applyProtection="1">
      <alignment horizontal="right" vertical="center" wrapText="1" indent="1"/>
      <protection locked="0" hidden="1"/>
    </xf>
    <xf numFmtId="168" fontId="11" fillId="0" borderId="1" xfId="6" applyNumberFormat="1" applyFont="1" applyBorder="1" applyAlignment="1" applyProtection="1">
      <alignment horizontal="right" vertical="center" wrapText="1" indent="1"/>
      <protection locked="0" hidden="1"/>
    </xf>
    <xf numFmtId="0" fontId="29" fillId="0" borderId="1" xfId="0" applyFont="1" applyBorder="1" applyAlignment="1" applyProtection="1">
      <alignment horizontal="justify" vertical="center" wrapText="1"/>
      <protection locked="0" hidden="1"/>
    </xf>
    <xf numFmtId="0" fontId="29" fillId="0" borderId="1" xfId="0" applyFont="1" applyBorder="1" applyAlignment="1" applyProtection="1">
      <alignment vertical="center" wrapText="1"/>
      <protection locked="0" hidden="1"/>
    </xf>
    <xf numFmtId="0" fontId="11" fillId="0" borderId="1" xfId="0" applyFont="1" applyBorder="1" applyAlignment="1" applyProtection="1">
      <alignment horizontal="left" vertical="center" wrapText="1"/>
      <protection locked="0" hidden="1"/>
    </xf>
    <xf numFmtId="49" fontId="11" fillId="0" borderId="1" xfId="0" applyNumberFormat="1" applyFont="1" applyBorder="1" applyAlignment="1" applyProtection="1">
      <alignment horizontal="center" vertical="center" wrapText="1"/>
      <protection locked="0" hidden="1"/>
    </xf>
    <xf numFmtId="0" fontId="9" fillId="0" borderId="1" xfId="0" applyFont="1" applyBorder="1" applyAlignment="1" applyProtection="1">
      <alignment horizontal="left" vertical="center" wrapText="1"/>
      <protection locked="0" hidden="1"/>
    </xf>
    <xf numFmtId="165" fontId="11" fillId="0" borderId="1" xfId="9" applyNumberFormat="1" applyFont="1" applyBorder="1" applyAlignment="1" applyProtection="1">
      <alignment horizontal="right" vertical="center" wrapText="1" indent="1"/>
      <protection locked="0" hidden="1"/>
    </xf>
    <xf numFmtId="3" fontId="5" fillId="0" borderId="1" xfId="0" applyNumberFormat="1" applyFont="1" applyBorder="1" applyAlignment="1">
      <alignment vertical="center"/>
    </xf>
    <xf numFmtId="1" fontId="0" fillId="0" borderId="0" xfId="0" applyNumberFormat="1"/>
    <xf numFmtId="3" fontId="19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/>
    <xf numFmtId="3" fontId="9" fillId="0" borderId="1" xfId="0" applyNumberFormat="1" applyFont="1" applyBorder="1" applyAlignment="1"/>
    <xf numFmtId="3" fontId="17" fillId="0" borderId="15" xfId="0" applyNumberFormat="1" applyFont="1" applyBorder="1"/>
    <xf numFmtId="0" fontId="11" fillId="0" borderId="32" xfId="0" applyFont="1" applyBorder="1" applyAlignment="1">
      <alignment horizontal="center" vertical="center" wrapText="1"/>
    </xf>
    <xf numFmtId="3" fontId="9" fillId="0" borderId="33" xfId="0" applyNumberFormat="1" applyFont="1" applyBorder="1"/>
    <xf numFmtId="3" fontId="11" fillId="0" borderId="34" xfId="0" applyNumberFormat="1" applyFont="1" applyBorder="1"/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wrapText="1"/>
    </xf>
    <xf numFmtId="3" fontId="7" fillId="0" borderId="1" xfId="0" applyNumberFormat="1" applyFont="1" applyBorder="1"/>
    <xf numFmtId="3" fontId="10" fillId="0" borderId="1" xfId="0" applyNumberFormat="1" applyFont="1" applyBorder="1"/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wrapText="1"/>
    </xf>
    <xf numFmtId="0" fontId="18" fillId="0" borderId="1" xfId="0" applyFont="1" applyBorder="1" applyAlignment="1">
      <alignment horizontal="center"/>
    </xf>
    <xf numFmtId="3" fontId="7" fillId="0" borderId="1" xfId="0" applyNumberFormat="1" applyFont="1" applyFill="1" applyBorder="1"/>
    <xf numFmtId="0" fontId="18" fillId="0" borderId="1" xfId="0" applyFont="1" applyBorder="1"/>
    <xf numFmtId="49" fontId="18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22" fillId="0" borderId="0" xfId="0" applyFont="1" applyFill="1" applyBorder="1" applyAlignment="1">
      <alignment vertical="center"/>
    </xf>
    <xf numFmtId="3" fontId="10" fillId="0" borderId="8" xfId="0" applyNumberFormat="1" applyFont="1" applyBorder="1"/>
    <xf numFmtId="3" fontId="27" fillId="0" borderId="8" xfId="0" applyNumberFormat="1" applyFont="1" applyFill="1" applyBorder="1"/>
    <xf numFmtId="3" fontId="22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 indent="1"/>
    </xf>
    <xf numFmtId="0" fontId="30" fillId="0" borderId="0" xfId="0" applyFont="1"/>
    <xf numFmtId="49" fontId="30" fillId="0" borderId="0" xfId="0" applyNumberFormat="1" applyFont="1" applyBorder="1"/>
    <xf numFmtId="0" fontId="30" fillId="0" borderId="0" xfId="0" applyFont="1" applyBorder="1"/>
    <xf numFmtId="0" fontId="22" fillId="0" borderId="0" xfId="0" applyFont="1" applyBorder="1"/>
    <xf numFmtId="0" fontId="9" fillId="0" borderId="1" xfId="0" applyFont="1" applyBorder="1" applyAlignment="1">
      <alignment horizontal="right" vertical="center"/>
    </xf>
    <xf numFmtId="3" fontId="17" fillId="0" borderId="15" xfId="0" applyNumberFormat="1" applyFont="1" applyBorder="1" applyAlignment="1"/>
    <xf numFmtId="3" fontId="12" fillId="0" borderId="22" xfId="0" applyNumberFormat="1" applyFont="1" applyBorder="1"/>
    <xf numFmtId="3" fontId="12" fillId="0" borderId="4" xfId="0" applyNumberFormat="1" applyFont="1" applyBorder="1"/>
    <xf numFmtId="3" fontId="11" fillId="0" borderId="4" xfId="0" applyNumberFormat="1" applyFont="1" applyBorder="1"/>
    <xf numFmtId="3" fontId="12" fillId="0" borderId="16" xfId="0" applyNumberFormat="1" applyFont="1" applyBorder="1"/>
    <xf numFmtId="3" fontId="16" fillId="0" borderId="33" xfId="0" applyNumberFormat="1" applyFont="1" applyBorder="1" applyAlignment="1"/>
    <xf numFmtId="0" fontId="23" fillId="0" borderId="0" xfId="0" applyFont="1" applyFill="1"/>
    <xf numFmtId="0" fontId="23" fillId="0" borderId="0" xfId="0" applyFont="1"/>
    <xf numFmtId="0" fontId="23" fillId="0" borderId="1" xfId="0" applyFont="1" applyBorder="1"/>
    <xf numFmtId="0" fontId="23" fillId="0" borderId="1" xfId="0" applyFont="1" applyFill="1" applyBorder="1"/>
    <xf numFmtId="0" fontId="5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7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vertical="center" wrapText="1"/>
    </xf>
    <xf numFmtId="3" fontId="15" fillId="0" borderId="1" xfId="0" applyNumberFormat="1" applyFont="1" applyBorder="1"/>
    <xf numFmtId="3" fontId="15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3" fontId="9" fillId="0" borderId="31" xfId="0" applyNumberFormat="1" applyFont="1" applyBorder="1" applyAlignment="1">
      <alignment vertical="center"/>
    </xf>
    <xf numFmtId="3" fontId="9" fillId="0" borderId="15" xfId="0" applyNumberFormat="1" applyFont="1" applyBorder="1"/>
    <xf numFmtId="3" fontId="9" fillId="0" borderId="5" xfId="0" applyNumberFormat="1" applyFont="1" applyBorder="1"/>
    <xf numFmtId="3" fontId="12" fillId="0" borderId="5" xfId="0" applyNumberFormat="1" applyFont="1" applyBorder="1"/>
    <xf numFmtId="3" fontId="0" fillId="0" borderId="1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wrapText="1"/>
    </xf>
    <xf numFmtId="165" fontId="11" fillId="0" borderId="3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vertical="center" wrapText="1"/>
    </xf>
    <xf numFmtId="3" fontId="0" fillId="4" borderId="1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164" fontId="0" fillId="0" borderId="0" xfId="6" applyFont="1"/>
    <xf numFmtId="164" fontId="0" fillId="0" borderId="0" xfId="6" applyFont="1" applyAlignment="1">
      <alignment horizontal="left"/>
    </xf>
    <xf numFmtId="0" fontId="15" fillId="0" borderId="0" xfId="0" applyFont="1" applyAlignment="1">
      <alignment horizontal="center"/>
    </xf>
    <xf numFmtId="0" fontId="31" fillId="0" borderId="0" xfId="0" applyFont="1" applyAlignment="1">
      <alignment horizontal="left" indent="1"/>
    </xf>
    <xf numFmtId="0" fontId="15" fillId="0" borderId="1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0" fillId="0" borderId="1" xfId="0" applyFont="1" applyBorder="1" applyAlignment="1" applyProtection="1">
      <alignment horizontal="center" vertical="center" wrapText="1"/>
      <protection locked="0" hidden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/>
    <xf numFmtId="3" fontId="32" fillId="0" borderId="1" xfId="0" applyNumberFormat="1" applyFont="1" applyBorder="1" applyAlignment="1">
      <alignment horizontal="right" vertical="center" wrapText="1"/>
    </xf>
    <xf numFmtId="0" fontId="11" fillId="0" borderId="0" xfId="0" applyFont="1"/>
    <xf numFmtId="0" fontId="11" fillId="0" borderId="0" xfId="0" applyFont="1" applyAlignment="1">
      <alignment horizontal="right"/>
    </xf>
    <xf numFmtId="3" fontId="11" fillId="0" borderId="0" xfId="0" applyNumberFormat="1" applyFont="1"/>
    <xf numFmtId="0" fontId="10" fillId="0" borderId="0" xfId="0" applyFont="1" applyAlignment="1">
      <alignment horizontal="center" vertical="center"/>
    </xf>
    <xf numFmtId="3" fontId="11" fillId="0" borderId="1" xfId="0" applyNumberFormat="1" applyFont="1" applyBorder="1" applyAlignment="1">
      <alignment horizontal="right" vertical="center" wrapText="1"/>
    </xf>
    <xf numFmtId="3" fontId="22" fillId="0" borderId="1" xfId="0" applyNumberFormat="1" applyFont="1" applyBorder="1" applyAlignment="1">
      <alignment horizontal="right" vertical="center" wrapText="1"/>
    </xf>
    <xf numFmtId="0" fontId="22" fillId="0" borderId="1" xfId="0" applyFont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/>
    <xf numFmtId="3" fontId="9" fillId="0" borderId="1" xfId="0" applyNumberFormat="1" applyFont="1" applyFill="1" applyBorder="1"/>
    <xf numFmtId="0" fontId="0" fillId="0" borderId="1" xfId="0" applyFill="1" applyBorder="1"/>
    <xf numFmtId="169" fontId="32" fillId="0" borderId="36" xfId="0" applyNumberFormat="1" applyFont="1" applyBorder="1" applyAlignment="1">
      <alignment horizontal="centerContinuous" vertical="center"/>
    </xf>
    <xf numFmtId="169" fontId="32" fillId="0" borderId="37" xfId="0" applyNumberFormat="1" applyFont="1" applyBorder="1" applyAlignment="1">
      <alignment horizontal="centerContinuous" vertical="center"/>
    </xf>
    <xf numFmtId="169" fontId="32" fillId="0" borderId="38" xfId="0" applyNumberFormat="1" applyFont="1" applyBorder="1" applyAlignment="1">
      <alignment horizontal="centerContinuous" vertical="center"/>
    </xf>
    <xf numFmtId="0" fontId="32" fillId="0" borderId="42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169" fontId="32" fillId="0" borderId="43" xfId="0" applyNumberFormat="1" applyFont="1" applyBorder="1" applyAlignment="1">
      <alignment horizontal="center" vertical="center" wrapText="1"/>
    </xf>
    <xf numFmtId="169" fontId="32" fillId="0" borderId="25" xfId="0" applyNumberFormat="1" applyFont="1" applyBorder="1" applyAlignment="1">
      <alignment horizontal="center" vertical="center" wrapText="1"/>
    </xf>
    <xf numFmtId="169" fontId="32" fillId="0" borderId="24" xfId="0" applyNumberFormat="1" applyFont="1" applyBorder="1" applyAlignment="1">
      <alignment horizontal="center" vertical="center" wrapText="1"/>
    </xf>
    <xf numFmtId="169" fontId="32" fillId="0" borderId="33" xfId="0" applyNumberFormat="1" applyFont="1" applyBorder="1" applyAlignment="1">
      <alignment horizontal="right" vertical="center" wrapText="1" indent="1"/>
    </xf>
    <xf numFmtId="169" fontId="32" fillId="0" borderId="45" xfId="0" applyNumberFormat="1" applyFont="1" applyBorder="1" applyAlignment="1">
      <alignment horizontal="left" vertical="center" wrapText="1"/>
    </xf>
    <xf numFmtId="1" fontId="32" fillId="5" borderId="45" xfId="0" applyNumberFormat="1" applyFont="1" applyFill="1" applyBorder="1" applyAlignment="1">
      <alignment horizontal="center" vertical="center" wrapText="1"/>
    </xf>
    <xf numFmtId="169" fontId="32" fillId="0" borderId="45" xfId="0" applyNumberFormat="1" applyFont="1" applyBorder="1" applyAlignment="1">
      <alignment vertical="center" wrapText="1"/>
    </xf>
    <xf numFmtId="169" fontId="32" fillId="0" borderId="36" xfId="0" applyNumberFormat="1" applyFont="1" applyBorder="1" applyAlignment="1">
      <alignment vertical="center" wrapText="1"/>
    </xf>
    <xf numFmtId="169" fontId="32" fillId="0" borderId="10" xfId="0" applyNumberFormat="1" applyFont="1" applyBorder="1" applyAlignment="1">
      <alignment horizontal="right" vertical="center" wrapText="1" indent="1"/>
    </xf>
    <xf numFmtId="169" fontId="33" fillId="0" borderId="1" xfId="0" applyNumberFormat="1" applyFont="1" applyBorder="1" applyAlignment="1" applyProtection="1">
      <alignment horizontal="left" vertical="center" wrapText="1"/>
      <protection locked="0"/>
    </xf>
    <xf numFmtId="1" fontId="33" fillId="0" borderId="1" xfId="0" applyNumberFormat="1" applyFont="1" applyBorder="1" applyAlignment="1" applyProtection="1">
      <alignment horizontal="center" vertical="center" wrapText="1"/>
      <protection locked="0"/>
    </xf>
    <xf numFmtId="169" fontId="33" fillId="0" borderId="1" xfId="0" applyNumberFormat="1" applyFont="1" applyBorder="1" applyAlignment="1" applyProtection="1">
      <alignment vertical="center" wrapText="1"/>
      <protection locked="0"/>
    </xf>
    <xf numFmtId="169" fontId="33" fillId="0" borderId="5" xfId="0" applyNumberFormat="1" applyFont="1" applyBorder="1" applyAlignment="1" applyProtection="1">
      <alignment vertical="center" wrapText="1"/>
      <protection locked="0"/>
    </xf>
    <xf numFmtId="169" fontId="32" fillId="0" borderId="1" xfId="0" applyNumberFormat="1" applyFont="1" applyBorder="1" applyAlignment="1">
      <alignment horizontal="left" vertical="center" wrapText="1"/>
    </xf>
    <xf numFmtId="1" fontId="32" fillId="5" borderId="1" xfId="0" applyNumberFormat="1" applyFont="1" applyFill="1" applyBorder="1" applyAlignment="1">
      <alignment horizontal="center" vertical="center" wrapText="1"/>
    </xf>
    <xf numFmtId="169" fontId="32" fillId="0" borderId="1" xfId="0" applyNumberFormat="1" applyFont="1" applyBorder="1" applyAlignment="1">
      <alignment vertical="center" wrapText="1"/>
    </xf>
    <xf numFmtId="169" fontId="32" fillId="0" borderId="5" xfId="0" applyNumberFormat="1" applyFont="1" applyBorder="1" applyAlignment="1">
      <alignment vertical="center" wrapText="1"/>
    </xf>
    <xf numFmtId="0" fontId="19" fillId="0" borderId="0" xfId="0" applyFont="1" applyAlignment="1">
      <alignment horizontal="justify" vertical="center" wrapText="1"/>
    </xf>
    <xf numFmtId="169" fontId="32" fillId="0" borderId="31" xfId="0" applyNumberFormat="1" applyFont="1" applyBorder="1" applyAlignment="1">
      <alignment horizontal="left" vertical="center" wrapText="1"/>
    </xf>
    <xf numFmtId="1" fontId="32" fillId="5" borderId="7" xfId="0" applyNumberFormat="1" applyFont="1" applyFill="1" applyBorder="1" applyAlignment="1">
      <alignment horizontal="center" vertical="center" wrapText="1"/>
    </xf>
    <xf numFmtId="169" fontId="32" fillId="0" borderId="31" xfId="0" applyNumberFormat="1" applyFont="1" applyBorder="1" applyAlignment="1">
      <alignment vertical="center" wrapText="1"/>
    </xf>
    <xf numFmtId="169" fontId="32" fillId="0" borderId="9" xfId="0" applyNumberFormat="1" applyFont="1" applyBorder="1" applyAlignment="1">
      <alignment vertical="center" wrapText="1"/>
    </xf>
    <xf numFmtId="169" fontId="33" fillId="0" borderId="48" xfId="0" applyNumberFormat="1" applyFont="1" applyBorder="1" applyAlignment="1">
      <alignment vertical="center" wrapText="1"/>
    </xf>
    <xf numFmtId="169" fontId="32" fillId="0" borderId="23" xfId="0" applyNumberFormat="1" applyFont="1" applyBorder="1" applyAlignment="1">
      <alignment horizontal="right" vertical="center" wrapText="1" indent="1"/>
    </xf>
    <xf numFmtId="169" fontId="32" fillId="0" borderId="25" xfId="0" applyNumberFormat="1" applyFont="1" applyBorder="1" applyAlignment="1">
      <alignment horizontal="left" vertical="center" wrapText="1"/>
    </xf>
    <xf numFmtId="1" fontId="33" fillId="5" borderId="24" xfId="0" applyNumberFormat="1" applyFont="1" applyFill="1" applyBorder="1" applyAlignment="1">
      <alignment vertical="center" wrapText="1"/>
    </xf>
    <xf numFmtId="169" fontId="32" fillId="0" borderId="25" xfId="0" applyNumberFormat="1" applyFont="1" applyBorder="1" applyAlignment="1">
      <alignment vertical="center" wrapText="1"/>
    </xf>
    <xf numFmtId="169" fontId="32" fillId="0" borderId="24" xfId="0" applyNumberFormat="1" applyFont="1" applyBorder="1" applyAlignment="1">
      <alignment vertical="center" wrapText="1"/>
    </xf>
    <xf numFmtId="169" fontId="32" fillId="0" borderId="50" xfId="0" applyNumberFormat="1" applyFont="1" applyBorder="1" applyAlignment="1">
      <alignment horizontal="right" vertical="center" wrapText="1" indent="1"/>
    </xf>
    <xf numFmtId="1" fontId="33" fillId="0" borderId="7" xfId="0" applyNumberFormat="1" applyFont="1" applyBorder="1" applyAlignment="1" applyProtection="1">
      <alignment horizontal="center" vertical="center" wrapText="1"/>
      <protection locked="0"/>
    </xf>
    <xf numFmtId="169" fontId="33" fillId="0" borderId="7" xfId="0" applyNumberFormat="1" applyFont="1" applyBorder="1" applyAlignment="1" applyProtection="1">
      <alignment vertical="center" wrapText="1"/>
      <protection locked="0"/>
    </xf>
    <xf numFmtId="169" fontId="33" fillId="0" borderId="51" xfId="0" applyNumberFormat="1" applyFont="1" applyBorder="1" applyAlignment="1" applyProtection="1">
      <alignment vertical="center" wrapText="1"/>
      <protection locked="0"/>
    </xf>
    <xf numFmtId="169" fontId="33" fillId="0" borderId="8" xfId="0" applyNumberFormat="1" applyFont="1" applyBorder="1" applyAlignment="1" applyProtection="1">
      <alignment vertical="center" wrapText="1"/>
      <protection locked="0"/>
    </xf>
    <xf numFmtId="169" fontId="33" fillId="0" borderId="15" xfId="0" applyNumberFormat="1" applyFont="1" applyBorder="1" applyAlignment="1" applyProtection="1">
      <alignment vertical="center" wrapText="1"/>
      <protection locked="0"/>
    </xf>
    <xf numFmtId="0" fontId="19" fillId="0" borderId="1" xfId="0" applyFont="1" applyBorder="1" applyAlignment="1">
      <alignment horizontal="justify" vertical="center" wrapText="1"/>
    </xf>
    <xf numFmtId="169" fontId="33" fillId="0" borderId="1" xfId="0" applyNumberFormat="1" applyFont="1" applyBorder="1" applyAlignment="1">
      <alignment vertical="center" wrapText="1"/>
    </xf>
    <xf numFmtId="0" fontId="32" fillId="0" borderId="51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169" fontId="32" fillId="0" borderId="49" xfId="0" applyNumberFormat="1" applyFont="1" applyBorder="1" applyAlignment="1">
      <alignment horizontal="center" vertical="center" wrapText="1"/>
    </xf>
    <xf numFmtId="169" fontId="32" fillId="0" borderId="25" xfId="0" applyNumberFormat="1" applyFont="1" applyFill="1" applyBorder="1" applyAlignment="1">
      <alignment horizontal="center" vertical="center" wrapText="1"/>
    </xf>
    <xf numFmtId="169" fontId="32" fillId="0" borderId="48" xfId="0" applyNumberFormat="1" applyFont="1" applyBorder="1" applyAlignment="1">
      <alignment vertical="center" wrapText="1"/>
    </xf>
    <xf numFmtId="169" fontId="32" fillId="0" borderId="49" xfId="0" applyNumberFormat="1" applyFont="1" applyFill="1" applyBorder="1" applyAlignment="1">
      <alignment vertical="center" wrapText="1"/>
    </xf>
    <xf numFmtId="169" fontId="33" fillId="0" borderId="4" xfId="0" applyNumberFormat="1" applyFont="1" applyBorder="1" applyAlignment="1">
      <alignment vertical="center" wrapText="1"/>
    </xf>
    <xf numFmtId="169" fontId="32" fillId="0" borderId="4" xfId="0" applyNumberFormat="1" applyFont="1" applyBorder="1" applyAlignment="1">
      <alignment vertical="center" wrapText="1"/>
    </xf>
    <xf numFmtId="169" fontId="32" fillId="0" borderId="46" xfId="0" applyNumberFormat="1" applyFont="1" applyFill="1" applyBorder="1" applyAlignment="1">
      <alignment vertical="center" wrapText="1"/>
    </xf>
    <xf numFmtId="169" fontId="33" fillId="0" borderId="47" xfId="0" applyNumberFormat="1" applyFont="1" applyFill="1" applyBorder="1" applyAlignment="1">
      <alignment vertical="center" wrapText="1"/>
    </xf>
    <xf numFmtId="169" fontId="32" fillId="0" borderId="47" xfId="0" applyNumberFormat="1" applyFont="1" applyFill="1" applyBorder="1" applyAlignment="1">
      <alignment vertical="center" wrapText="1"/>
    </xf>
    <xf numFmtId="169" fontId="33" fillId="0" borderId="52" xfId="0" applyNumberFormat="1" applyFont="1" applyFill="1" applyBorder="1" applyAlignment="1">
      <alignment vertical="center" wrapText="1"/>
    </xf>
    <xf numFmtId="169" fontId="33" fillId="0" borderId="53" xfId="0" applyNumberFormat="1" applyFont="1" applyFill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vertical="center" wrapText="1"/>
    </xf>
    <xf numFmtId="49" fontId="36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vertical="center" wrapText="1"/>
    </xf>
    <xf numFmtId="49" fontId="37" fillId="0" borderId="1" xfId="0" applyNumberFormat="1" applyFont="1" applyBorder="1" applyAlignment="1">
      <alignment horizontal="center" vertical="center"/>
    </xf>
    <xf numFmtId="3" fontId="24" fillId="0" borderId="1" xfId="0" applyNumberFormat="1" applyFont="1" applyBorder="1" applyAlignment="1">
      <alignment vertical="center" wrapText="1"/>
    </xf>
    <xf numFmtId="3" fontId="23" fillId="0" borderId="1" xfId="0" applyNumberFormat="1" applyFont="1" applyBorder="1" applyAlignment="1">
      <alignment vertical="center" wrapText="1"/>
    </xf>
    <xf numFmtId="49" fontId="38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3" fontId="16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vertical="center" wrapText="1"/>
    </xf>
    <xf numFmtId="0" fontId="18" fillId="0" borderId="0" xfId="0" applyFont="1"/>
    <xf numFmtId="0" fontId="19" fillId="0" borderId="0" xfId="0" applyFont="1"/>
    <xf numFmtId="3" fontId="19" fillId="0" borderId="0" xfId="0" applyNumberFormat="1" applyFont="1"/>
    <xf numFmtId="169" fontId="33" fillId="0" borderId="22" xfId="0" applyNumberFormat="1" applyFont="1" applyBorder="1" applyAlignment="1">
      <alignment vertical="center" wrapText="1"/>
    </xf>
    <xf numFmtId="169" fontId="33" fillId="0" borderId="8" xfId="0" applyNumberFormat="1" applyFont="1" applyBorder="1" applyAlignment="1">
      <alignment vertical="center" wrapText="1"/>
    </xf>
    <xf numFmtId="169" fontId="33" fillId="0" borderId="55" xfId="0" applyNumberFormat="1" applyFont="1" applyBorder="1" applyAlignment="1">
      <alignment vertical="center" wrapText="1"/>
    </xf>
    <xf numFmtId="169" fontId="32" fillId="0" borderId="2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3" fontId="9" fillId="0" borderId="5" xfId="0" applyNumberFormat="1" applyFont="1" applyBorder="1" applyAlignment="1">
      <alignment horizontal="right"/>
    </xf>
    <xf numFmtId="0" fontId="11" fillId="0" borderId="5" xfId="0" applyFont="1" applyBorder="1" applyAlignment="1">
      <alignment horizontal="center" vertical="center" wrapText="1"/>
    </xf>
    <xf numFmtId="3" fontId="11" fillId="0" borderId="1" xfId="0" applyNumberFormat="1" applyFont="1" applyBorder="1" applyAlignment="1"/>
    <xf numFmtId="3" fontId="11" fillId="0" borderId="4" xfId="0" applyNumberFormat="1" applyFont="1" applyBorder="1" applyAlignment="1">
      <alignment horizontal="right"/>
    </xf>
    <xf numFmtId="3" fontId="11" fillId="0" borderId="5" xfId="0" applyNumberFormat="1" applyFont="1" applyBorder="1" applyAlignment="1"/>
    <xf numFmtId="0" fontId="10" fillId="0" borderId="0" xfId="0" applyFont="1" applyAlignment="1"/>
    <xf numFmtId="3" fontId="9" fillId="0" borderId="0" xfId="0" applyNumberFormat="1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0" xfId="0" applyBorder="1" applyAlignment="1"/>
    <xf numFmtId="0" fontId="19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left" vertical="center" wrapText="1"/>
    </xf>
    <xf numFmtId="3" fontId="19" fillId="0" borderId="1" xfId="0" applyNumberFormat="1" applyFont="1" applyBorder="1" applyAlignment="1"/>
    <xf numFmtId="49" fontId="39" fillId="0" borderId="1" xfId="0" applyNumberFormat="1" applyFont="1" applyBorder="1" applyAlignment="1">
      <alignment horizontal="center"/>
    </xf>
    <xf numFmtId="49" fontId="39" fillId="0" borderId="1" xfId="0" applyNumberFormat="1" applyFont="1" applyBorder="1" applyAlignment="1">
      <alignment wrapText="1"/>
    </xf>
    <xf numFmtId="3" fontId="39" fillId="0" borderId="1" xfId="0" applyNumberFormat="1" applyFont="1" applyBorder="1"/>
    <xf numFmtId="3" fontId="40" fillId="0" borderId="1" xfId="0" applyNumberFormat="1" applyFont="1" applyBorder="1"/>
    <xf numFmtId="0" fontId="31" fillId="0" borderId="0" xfId="0" applyFont="1"/>
    <xf numFmtId="49" fontId="41" fillId="0" borderId="1" xfId="0" applyNumberFormat="1" applyFont="1" applyBorder="1" applyAlignment="1">
      <alignment horizontal="center"/>
    </xf>
    <xf numFmtId="49" fontId="19" fillId="0" borderId="1" xfId="0" applyNumberFormat="1" applyFont="1" applyBorder="1" applyAlignment="1">
      <alignment horizontal="center"/>
    </xf>
    <xf numFmtId="3" fontId="10" fillId="0" borderId="1" xfId="0" applyNumberFormat="1" applyFont="1" applyFill="1" applyBorder="1"/>
    <xf numFmtId="0" fontId="2" fillId="0" borderId="0" xfId="0" applyFont="1" applyAlignment="1">
      <alignment vertical="center"/>
    </xf>
    <xf numFmtId="3" fontId="2" fillId="0" borderId="0" xfId="0" applyNumberFormat="1" applyFont="1" applyBorder="1"/>
    <xf numFmtId="3" fontId="9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/>
    <xf numFmtId="3" fontId="9" fillId="0" borderId="0" xfId="0" applyNumberFormat="1" applyFont="1" applyBorder="1" applyAlignment="1">
      <alignment horizontal="left" wrapText="1"/>
    </xf>
    <xf numFmtId="49" fontId="11" fillId="0" borderId="1" xfId="0" applyNumberFormat="1" applyFont="1" applyBorder="1" applyAlignment="1"/>
    <xf numFmtId="49" fontId="9" fillId="0" borderId="1" xfId="0" applyNumberFormat="1" applyFont="1" applyBorder="1" applyAlignment="1"/>
    <xf numFmtId="3" fontId="9" fillId="0" borderId="5" xfId="0" applyNumberFormat="1" applyFont="1" applyBorder="1" applyAlignment="1"/>
    <xf numFmtId="0" fontId="11" fillId="0" borderId="5" xfId="0" applyFont="1" applyBorder="1" applyAlignment="1">
      <alignment vertical="center"/>
    </xf>
    <xf numFmtId="0" fontId="9" fillId="0" borderId="5" xfId="0" applyFont="1" applyBorder="1" applyAlignment="1"/>
    <xf numFmtId="0" fontId="9" fillId="0" borderId="3" xfId="0" applyFont="1" applyBorder="1" applyAlignment="1"/>
    <xf numFmtId="49" fontId="11" fillId="0" borderId="5" xfId="0" applyNumberFormat="1" applyFont="1" applyBorder="1" applyAlignment="1"/>
    <xf numFmtId="0" fontId="12" fillId="0" borderId="5" xfId="0" applyFont="1" applyBorder="1" applyAlignment="1"/>
    <xf numFmtId="0" fontId="12" fillId="0" borderId="3" xfId="0" applyFont="1" applyBorder="1" applyAlignment="1"/>
    <xf numFmtId="0" fontId="11" fillId="0" borderId="5" xfId="0" applyFont="1" applyBorder="1" applyAlignment="1"/>
    <xf numFmtId="0" fontId="0" fillId="0" borderId="5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0" fillId="0" borderId="0" xfId="0" applyFont="1" applyAlignment="1">
      <alignment wrapText="1"/>
    </xf>
    <xf numFmtId="0" fontId="9" fillId="0" borderId="2" xfId="0" applyFont="1" applyBorder="1" applyAlignment="1"/>
    <xf numFmtId="3" fontId="10" fillId="0" borderId="5" xfId="0" applyNumberFormat="1" applyFont="1" applyBorder="1" applyAlignment="1"/>
    <xf numFmtId="49" fontId="10" fillId="0" borderId="5" xfId="0" applyNumberFormat="1" applyFont="1" applyBorder="1" applyAlignment="1"/>
    <xf numFmtId="0" fontId="9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vertical="center"/>
    </xf>
    <xf numFmtId="3" fontId="17" fillId="0" borderId="1" xfId="0" applyNumberFormat="1" applyFont="1" applyFill="1" applyBorder="1" applyAlignment="1">
      <alignment vertical="center"/>
    </xf>
    <xf numFmtId="0" fontId="15" fillId="0" borderId="0" xfId="0" applyFont="1" applyAlignment="1"/>
    <xf numFmtId="0" fontId="7" fillId="0" borderId="0" xfId="0" applyFont="1" applyAlignment="1"/>
    <xf numFmtId="3" fontId="17" fillId="0" borderId="1" xfId="0" applyNumberFormat="1" applyFont="1" applyFill="1" applyBorder="1" applyAlignment="1"/>
    <xf numFmtId="3" fontId="32" fillId="0" borderId="1" xfId="0" applyNumberFormat="1" applyFont="1" applyFill="1" applyBorder="1" applyAlignment="1">
      <alignment horizontal="right" vertical="center" wrapText="1"/>
    </xf>
    <xf numFmtId="3" fontId="33" fillId="0" borderId="1" xfId="0" applyNumberFormat="1" applyFont="1" applyFill="1" applyBorder="1" applyAlignment="1">
      <alignment horizontal="right" vertical="center" wrapText="1"/>
    </xf>
    <xf numFmtId="3" fontId="33" fillId="0" borderId="1" xfId="0" applyNumberFormat="1" applyFont="1" applyBorder="1" applyAlignment="1">
      <alignment horizontal="right" vertical="center" wrapText="1"/>
    </xf>
    <xf numFmtId="3" fontId="11" fillId="0" borderId="5" xfId="0" applyNumberFormat="1" applyFont="1" applyFill="1" applyBorder="1"/>
    <xf numFmtId="0" fontId="12" fillId="0" borderId="1" xfId="7" applyNumberFormat="1" applyFont="1" applyFill="1" applyBorder="1"/>
    <xf numFmtId="0" fontId="9" fillId="0" borderId="0" xfId="0" applyFont="1" applyFill="1" applyAlignment="1">
      <alignment vertical="top" wrapText="1"/>
    </xf>
    <xf numFmtId="0" fontId="10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/>
    <xf numFmtId="0" fontId="10" fillId="0" borderId="1" xfId="0" applyFont="1" applyBorder="1"/>
    <xf numFmtId="0" fontId="10" fillId="0" borderId="0" xfId="0" applyFont="1" applyFill="1" applyAlignment="1">
      <alignment wrapText="1"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8" fillId="0" borderId="0" xfId="0" applyFont="1" applyAlignment="1">
      <alignment wrapText="1"/>
    </xf>
    <xf numFmtId="0" fontId="7" fillId="0" borderId="0" xfId="0" applyFont="1"/>
    <xf numFmtId="0" fontId="7" fillId="0" borderId="0" xfId="0" applyFont="1" applyFill="1" applyAlignment="1">
      <alignment wrapText="1"/>
    </xf>
    <xf numFmtId="0" fontId="7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wrapText="1"/>
    </xf>
    <xf numFmtId="0" fontId="9" fillId="0" borderId="0" xfId="0" applyFont="1" applyAlignment="1">
      <alignment horizontal="right"/>
    </xf>
    <xf numFmtId="3" fontId="11" fillId="2" borderId="1" xfId="9" applyNumberFormat="1" applyFont="1" applyFill="1" applyBorder="1" applyAlignment="1" applyProtection="1">
      <alignment horizontal="right" vertical="center" wrapText="1" indent="1"/>
      <protection locked="0" hidden="1"/>
    </xf>
    <xf numFmtId="3" fontId="11" fillId="0" borderId="1" xfId="9" applyNumberFormat="1" applyFont="1" applyBorder="1" applyAlignment="1" applyProtection="1">
      <alignment horizontal="right" vertical="center" wrapText="1" indent="1"/>
      <protection locked="0" hidden="1"/>
    </xf>
    <xf numFmtId="3" fontId="11" fillId="0" borderId="1" xfId="6" applyNumberFormat="1" applyFont="1" applyBorder="1" applyAlignment="1" applyProtection="1">
      <alignment horizontal="right" vertical="center" wrapText="1" indent="1"/>
      <protection locked="0" hidden="1"/>
    </xf>
    <xf numFmtId="170" fontId="11" fillId="0" borderId="1" xfId="9" applyNumberFormat="1" applyFont="1" applyBorder="1" applyAlignment="1" applyProtection="1">
      <alignment horizontal="right" vertical="center" wrapText="1" indent="1"/>
      <protection locked="0" hidden="1"/>
    </xf>
    <xf numFmtId="170" fontId="11" fillId="0" borderId="1" xfId="6" applyNumberFormat="1" applyFont="1" applyBorder="1" applyAlignment="1" applyProtection="1">
      <alignment horizontal="right" vertical="center" wrapText="1" indent="1"/>
      <protection locked="0" hidden="1"/>
    </xf>
    <xf numFmtId="0" fontId="12" fillId="0" borderId="4" xfId="0" applyFont="1" applyBorder="1" applyAlignment="1"/>
    <xf numFmtId="0" fontId="9" fillId="0" borderId="4" xfId="0" applyFont="1" applyBorder="1" applyAlignment="1"/>
    <xf numFmtId="0" fontId="0" fillId="0" borderId="9" xfId="0" applyBorder="1"/>
    <xf numFmtId="0" fontId="9" fillId="0" borderId="0" xfId="0" applyFont="1" applyAlignment="1">
      <alignment horizontal="right"/>
    </xf>
    <xf numFmtId="49" fontId="0" fillId="0" borderId="0" xfId="0" applyNumberFormat="1"/>
    <xf numFmtId="3" fontId="16" fillId="0" borderId="0" xfId="0" applyNumberFormat="1" applyFont="1"/>
    <xf numFmtId="3" fontId="17" fillId="0" borderId="0" xfId="0" applyNumberFormat="1" applyFont="1"/>
    <xf numFmtId="3" fontId="2" fillId="0" borderId="0" xfId="0" applyNumberFormat="1" applyFont="1"/>
    <xf numFmtId="3" fontId="9" fillId="0" borderId="0" xfId="0" applyNumberFormat="1" applyFont="1"/>
    <xf numFmtId="0" fontId="9" fillId="0" borderId="0" xfId="0" applyFont="1" applyAlignment="1">
      <alignment wrapText="1"/>
    </xf>
    <xf numFmtId="0" fontId="9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1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/>
    <xf numFmtId="0" fontId="9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3" fontId="9" fillId="0" borderId="1" xfId="6" applyNumberFormat="1" applyFont="1" applyBorder="1" applyAlignment="1">
      <alignment wrapText="1"/>
    </xf>
    <xf numFmtId="3" fontId="12" fillId="0" borderId="1" xfId="6" applyNumberFormat="1" applyFont="1" applyBorder="1"/>
    <xf numFmtId="3" fontId="9" fillId="0" borderId="1" xfId="6" applyNumberFormat="1" applyFont="1" applyBorder="1"/>
    <xf numFmtId="3" fontId="0" fillId="0" borderId="0" xfId="6" applyNumberFormat="1" applyFont="1"/>
    <xf numFmtId="3" fontId="43" fillId="0" borderId="1" xfId="0" applyNumberFormat="1" applyFont="1" applyFill="1" applyBorder="1"/>
    <xf numFmtId="3" fontId="44" fillId="0" borderId="1" xfId="0" applyNumberFormat="1" applyFont="1" applyFill="1" applyBorder="1"/>
    <xf numFmtId="3" fontId="45" fillId="0" borderId="1" xfId="0" applyNumberFormat="1" applyFont="1" applyFill="1" applyBorder="1"/>
    <xf numFmtId="3" fontId="46" fillId="0" borderId="1" xfId="0" applyNumberFormat="1" applyFont="1" applyFill="1" applyBorder="1"/>
    <xf numFmtId="3" fontId="47" fillId="0" borderId="1" xfId="0" applyNumberFormat="1" applyFont="1" applyFill="1" applyBorder="1"/>
    <xf numFmtId="3" fontId="48" fillId="0" borderId="1" xfId="0" applyNumberFormat="1" applyFont="1" applyFill="1" applyBorder="1"/>
    <xf numFmtId="3" fontId="49" fillId="0" borderId="1" xfId="0" applyNumberFormat="1" applyFont="1" applyFill="1" applyBorder="1"/>
    <xf numFmtId="3" fontId="50" fillId="0" borderId="1" xfId="0" applyNumberFormat="1" applyFont="1" applyFill="1" applyBorder="1"/>
    <xf numFmtId="0" fontId="52" fillId="0" borderId="1" xfId="0" applyFont="1" applyFill="1" applyBorder="1"/>
    <xf numFmtId="0" fontId="53" fillId="0" borderId="1" xfId="0" applyFont="1" applyFill="1" applyBorder="1"/>
    <xf numFmtId="3" fontId="42" fillId="0" borderId="1" xfId="0" applyNumberFormat="1" applyFont="1" applyFill="1" applyBorder="1"/>
    <xf numFmtId="3" fontId="54" fillId="0" borderId="1" xfId="0" applyNumberFormat="1" applyFont="1" applyFill="1" applyBorder="1"/>
    <xf numFmtId="0" fontId="53" fillId="0" borderId="0" xfId="0" applyFont="1" applyAlignment="1">
      <alignment horizontal="center"/>
    </xf>
    <xf numFmtId="0" fontId="56" fillId="0" borderId="0" xfId="0" applyFont="1" applyAlignment="1">
      <alignment horizontal="center" wrapText="1"/>
    </xf>
    <xf numFmtId="0" fontId="45" fillId="0" borderId="0" xfId="0" applyFont="1" applyAlignment="1">
      <alignment vertical="center" wrapText="1"/>
    </xf>
    <xf numFmtId="0" fontId="53" fillId="0" borderId="0" xfId="0" applyFont="1"/>
    <xf numFmtId="0" fontId="51" fillId="0" borderId="0" xfId="0" applyFont="1" applyAlignment="1">
      <alignment vertic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45" fillId="0" borderId="0" xfId="0" applyFont="1"/>
    <xf numFmtId="0" fontId="46" fillId="0" borderId="0" xfId="0" applyFont="1"/>
    <xf numFmtId="0" fontId="43" fillId="0" borderId="0" xfId="0" applyFont="1"/>
    <xf numFmtId="0" fontId="44" fillId="0" borderId="0" xfId="0" applyFont="1"/>
    <xf numFmtId="0" fontId="50" fillId="0" borderId="1" xfId="0" applyFont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49" fontId="47" fillId="0" borderId="1" xfId="0" applyNumberFormat="1" applyFont="1" applyBorder="1" applyAlignment="1">
      <alignment horizontal="center"/>
    </xf>
    <xf numFmtId="49" fontId="47" fillId="0" borderId="1" xfId="0" applyNumberFormat="1" applyFont="1" applyBorder="1" applyAlignment="1">
      <alignment horizontal="left" vertical="top" wrapText="1"/>
    </xf>
    <xf numFmtId="3" fontId="50" fillId="0" borderId="1" xfId="0" applyNumberFormat="1" applyFont="1" applyBorder="1"/>
    <xf numFmtId="3" fontId="48" fillId="0" borderId="1" xfId="0" applyNumberFormat="1" applyFont="1" applyBorder="1"/>
    <xf numFmtId="3" fontId="47" fillId="0" borderId="1" xfId="0" applyNumberFormat="1" applyFont="1" applyBorder="1"/>
    <xf numFmtId="3" fontId="49" fillId="0" borderId="1" xfId="0" applyNumberFormat="1" applyFont="1" applyBorder="1"/>
    <xf numFmtId="0" fontId="60" fillId="0" borderId="0" xfId="0" applyFont="1"/>
    <xf numFmtId="49" fontId="44" fillId="0" borderId="1" xfId="0" applyNumberFormat="1" applyFont="1" applyBorder="1" applyAlignment="1">
      <alignment horizontal="center"/>
    </xf>
    <xf numFmtId="49" fontId="44" fillId="0" borderId="1" xfId="0" applyNumberFormat="1" applyFont="1" applyFill="1" applyBorder="1" applyAlignment="1">
      <alignment horizontal="left" vertical="top" wrapText="1"/>
    </xf>
    <xf numFmtId="49" fontId="47" fillId="0" borderId="1" xfId="0" applyNumberFormat="1" applyFont="1" applyFill="1" applyBorder="1" applyAlignment="1">
      <alignment horizontal="left" vertical="top" wrapText="1"/>
    </xf>
    <xf numFmtId="0" fontId="47" fillId="0" borderId="0" xfId="0" applyFont="1"/>
    <xf numFmtId="49" fontId="47" fillId="4" borderId="1" xfId="0" applyNumberFormat="1" applyFont="1" applyFill="1" applyBorder="1" applyAlignment="1">
      <alignment horizontal="center"/>
    </xf>
    <xf numFmtId="49" fontId="47" fillId="4" borderId="1" xfId="0" applyNumberFormat="1" applyFont="1" applyFill="1" applyBorder="1" applyAlignment="1">
      <alignment horizontal="left" vertical="top" wrapText="1"/>
    </xf>
    <xf numFmtId="3" fontId="47" fillId="4" borderId="1" xfId="0" applyNumberFormat="1" applyFont="1" applyFill="1" applyBorder="1"/>
    <xf numFmtId="3" fontId="48" fillId="4" borderId="1" xfId="0" applyNumberFormat="1" applyFont="1" applyFill="1" applyBorder="1"/>
    <xf numFmtId="3" fontId="49" fillId="4" borderId="1" xfId="0" applyNumberFormat="1" applyFont="1" applyFill="1" applyBorder="1"/>
    <xf numFmtId="49" fontId="44" fillId="0" borderId="1" xfId="0" applyNumberFormat="1" applyFont="1" applyBorder="1" applyAlignment="1">
      <alignment horizontal="left" vertical="top" wrapText="1"/>
    </xf>
    <xf numFmtId="3" fontId="45" fillId="0" borderId="1" xfId="0" applyNumberFormat="1" applyFont="1" applyBorder="1"/>
    <xf numFmtId="3" fontId="46" fillId="0" borderId="1" xfId="0" applyNumberFormat="1" applyFont="1" applyBorder="1"/>
    <xf numFmtId="3" fontId="43" fillId="0" borderId="1" xfId="0" applyNumberFormat="1" applyFont="1" applyBorder="1"/>
    <xf numFmtId="0" fontId="51" fillId="0" borderId="1" xfId="0" applyFont="1" applyBorder="1"/>
    <xf numFmtId="0" fontId="52" fillId="0" borderId="1" xfId="0" applyFont="1" applyBorder="1"/>
    <xf numFmtId="0" fontId="61" fillId="0" borderId="1" xfId="0" applyFont="1" applyBorder="1"/>
    <xf numFmtId="0" fontId="53" fillId="0" borderId="1" xfId="0" applyFont="1" applyBorder="1"/>
    <xf numFmtId="3" fontId="50" fillId="4" borderId="1" xfId="0" applyNumberFormat="1" applyFont="1" applyFill="1" applyBorder="1"/>
    <xf numFmtId="49" fontId="47" fillId="6" borderId="1" xfId="0" applyNumberFormat="1" applyFont="1" applyFill="1" applyBorder="1" applyAlignment="1">
      <alignment horizontal="center"/>
    </xf>
    <xf numFmtId="3" fontId="50" fillId="6" borderId="1" xfId="0" applyNumberFormat="1" applyFont="1" applyFill="1" applyBorder="1"/>
    <xf numFmtId="3" fontId="48" fillId="6" borderId="1" xfId="0" applyNumberFormat="1" applyFont="1" applyFill="1" applyBorder="1"/>
    <xf numFmtId="3" fontId="49" fillId="6" borderId="1" xfId="0" applyNumberFormat="1" applyFont="1" applyFill="1" applyBorder="1"/>
    <xf numFmtId="3" fontId="47" fillId="6" borderId="1" xfId="0" applyNumberFormat="1" applyFont="1" applyFill="1" applyBorder="1"/>
    <xf numFmtId="0" fontId="44" fillId="0" borderId="1" xfId="0" applyFont="1" applyBorder="1" applyAlignment="1">
      <alignment horizontal="center"/>
    </xf>
    <xf numFmtId="49" fontId="51" fillId="0" borderId="0" xfId="0" applyNumberFormat="1" applyFont="1" applyBorder="1" applyAlignment="1"/>
    <xf numFmtId="49" fontId="52" fillId="0" borderId="0" xfId="0" applyNumberFormat="1" applyFont="1" applyBorder="1" applyAlignment="1"/>
    <xf numFmtId="49" fontId="61" fillId="0" borderId="0" xfId="0" applyNumberFormat="1" applyFont="1" applyBorder="1" applyAlignment="1"/>
    <xf numFmtId="49" fontId="53" fillId="0" borderId="0" xfId="0" applyNumberFormat="1" applyFont="1" applyBorder="1" applyAlignment="1"/>
    <xf numFmtId="0" fontId="51" fillId="0" borderId="0" xfId="0" applyFont="1"/>
    <xf numFmtId="0" fontId="52" fillId="0" borderId="0" xfId="0" applyFont="1"/>
    <xf numFmtId="0" fontId="61" fillId="0" borderId="0" xfId="0" applyFont="1"/>
    <xf numFmtId="0" fontId="57" fillId="0" borderId="1" xfId="0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/>
    </xf>
    <xf numFmtId="3" fontId="50" fillId="0" borderId="1" xfId="0" applyNumberFormat="1" applyFont="1" applyFill="1" applyBorder="1" applyAlignment="1"/>
    <xf numFmtId="3" fontId="48" fillId="0" borderId="1" xfId="0" applyNumberFormat="1" applyFont="1" applyFill="1" applyBorder="1" applyAlignment="1"/>
    <xf numFmtId="3" fontId="49" fillId="0" borderId="1" xfId="0" applyNumberFormat="1" applyFont="1" applyFill="1" applyBorder="1" applyAlignment="1"/>
    <xf numFmtId="3" fontId="54" fillId="0" borderId="1" xfId="0" applyNumberFormat="1" applyFont="1" applyFill="1" applyBorder="1" applyAlignment="1"/>
    <xf numFmtId="49" fontId="44" fillId="0" borderId="1" xfId="0" applyNumberFormat="1" applyFont="1" applyFill="1" applyBorder="1" applyAlignment="1">
      <alignment horizontal="center"/>
    </xf>
    <xf numFmtId="49" fontId="47" fillId="0" borderId="1" xfId="0" applyNumberFormat="1" applyFont="1" applyFill="1" applyBorder="1" applyAlignment="1">
      <alignment horizontal="center"/>
    </xf>
    <xf numFmtId="49" fontId="42" fillId="0" borderId="1" xfId="0" applyNumberFormat="1" applyFont="1" applyFill="1" applyBorder="1" applyAlignment="1">
      <alignment horizontal="center"/>
    </xf>
    <xf numFmtId="49" fontId="54" fillId="0" borderId="1" xfId="0" applyNumberFormat="1" applyFont="1" applyFill="1" applyBorder="1" applyAlignment="1">
      <alignment horizontal="center"/>
    </xf>
    <xf numFmtId="49" fontId="44" fillId="0" borderId="1" xfId="0" applyNumberFormat="1" applyFont="1" applyFill="1" applyBorder="1" applyAlignment="1">
      <alignment vertical="top" wrapText="1"/>
    </xf>
    <xf numFmtId="49" fontId="54" fillId="4" borderId="1" xfId="0" applyNumberFormat="1" applyFont="1" applyFill="1" applyBorder="1" applyAlignment="1">
      <alignment horizontal="center"/>
    </xf>
    <xf numFmtId="0" fontId="53" fillId="0" borderId="1" xfId="0" applyFont="1" applyFill="1" applyBorder="1" applyAlignment="1">
      <alignment horizontal="center"/>
    </xf>
    <xf numFmtId="0" fontId="61" fillId="0" borderId="1" xfId="0" applyFont="1" applyFill="1" applyBorder="1"/>
    <xf numFmtId="1" fontId="44" fillId="0" borderId="1" xfId="0" applyNumberFormat="1" applyFont="1" applyFill="1" applyBorder="1"/>
    <xf numFmtId="1" fontId="46" fillId="0" borderId="1" xfId="0" applyNumberFormat="1" applyFont="1" applyFill="1" applyBorder="1"/>
    <xf numFmtId="1" fontId="43" fillId="0" borderId="1" xfId="0" applyNumberFormat="1" applyFont="1" applyFill="1" applyBorder="1"/>
    <xf numFmtId="3" fontId="51" fillId="0" borderId="1" xfId="0" applyNumberFormat="1" applyFont="1" applyFill="1" applyBorder="1"/>
    <xf numFmtId="3" fontId="52" fillId="0" borderId="1" xfId="0" applyNumberFormat="1" applyFont="1" applyFill="1" applyBorder="1"/>
    <xf numFmtId="0" fontId="53" fillId="0" borderId="0" xfId="0" applyFont="1" applyBorder="1" applyAlignment="1">
      <alignment horizontal="center"/>
    </xf>
    <xf numFmtId="3" fontId="51" fillId="0" borderId="0" xfId="0" applyNumberFormat="1" applyFont="1" applyBorder="1"/>
    <xf numFmtId="3" fontId="52" fillId="0" borderId="0" xfId="0" applyNumberFormat="1" applyFont="1" applyBorder="1"/>
    <xf numFmtId="3" fontId="61" fillId="0" borderId="0" xfId="0" applyNumberFormat="1" applyFont="1" applyBorder="1"/>
    <xf numFmtId="3" fontId="53" fillId="0" borderId="0" xfId="0" applyNumberFormat="1" applyFont="1" applyBorder="1"/>
    <xf numFmtId="3" fontId="64" fillId="0" borderId="0" xfId="0" applyNumberFormat="1" applyFont="1" applyBorder="1"/>
    <xf numFmtId="3" fontId="65" fillId="0" borderId="0" xfId="0" applyNumberFormat="1" applyFont="1" applyBorder="1"/>
    <xf numFmtId="3" fontId="66" fillId="0" borderId="0" xfId="0" applyNumberFormat="1" applyFont="1" applyBorder="1"/>
    <xf numFmtId="0" fontId="53" fillId="0" borderId="0" xfId="0" applyFont="1" applyFill="1" applyBorder="1" applyAlignment="1">
      <alignment horizontal="center"/>
    </xf>
    <xf numFmtId="3" fontId="51" fillId="0" borderId="0" xfId="0" applyNumberFormat="1" applyFont="1" applyFill="1" applyBorder="1"/>
    <xf numFmtId="3" fontId="52" fillId="0" borderId="0" xfId="0" applyNumberFormat="1" applyFont="1" applyFill="1" applyBorder="1"/>
    <xf numFmtId="3" fontId="61" fillId="0" borderId="0" xfId="0" applyNumberFormat="1" applyFont="1" applyFill="1" applyBorder="1"/>
    <xf numFmtId="3" fontId="53" fillId="0" borderId="0" xfId="0" applyNumberFormat="1" applyFont="1" applyFill="1" applyBorder="1"/>
    <xf numFmtId="0" fontId="51" fillId="0" borderId="0" xfId="0" applyFont="1" applyFill="1"/>
    <xf numFmtId="0" fontId="52" fillId="0" borderId="0" xfId="0" applyFont="1" applyFill="1"/>
    <xf numFmtId="0" fontId="61" fillId="0" borderId="0" xfId="0" applyFont="1" applyFill="1"/>
    <xf numFmtId="0" fontId="53" fillId="0" borderId="0" xfId="0" applyFont="1" applyFill="1"/>
    <xf numFmtId="3" fontId="64" fillId="0" borderId="0" xfId="0" applyNumberFormat="1" applyFont="1" applyFill="1" applyBorder="1"/>
    <xf numFmtId="3" fontId="65" fillId="0" borderId="0" xfId="0" applyNumberFormat="1" applyFont="1" applyFill="1" applyBorder="1"/>
    <xf numFmtId="3" fontId="66" fillId="0" borderId="0" xfId="0" applyNumberFormat="1" applyFont="1" applyFill="1" applyBorder="1"/>
    <xf numFmtId="0" fontId="51" fillId="0" borderId="0" xfId="0" applyFont="1" applyFill="1" applyBorder="1"/>
    <xf numFmtId="0" fontId="52" fillId="0" borderId="0" xfId="0" applyFont="1" applyFill="1" applyBorder="1"/>
    <xf numFmtId="0" fontId="61" fillId="0" borderId="0" xfId="0" applyFont="1" applyFill="1" applyBorder="1"/>
    <xf numFmtId="0" fontId="53" fillId="0" borderId="0" xfId="0" applyFont="1" applyFill="1" applyBorder="1"/>
    <xf numFmtId="0" fontId="51" fillId="0" borderId="0" xfId="0" applyFont="1" applyBorder="1"/>
    <xf numFmtId="0" fontId="52" fillId="0" borderId="0" xfId="0" applyFont="1" applyBorder="1"/>
    <xf numFmtId="0" fontId="61" fillId="0" borderId="0" xfId="0" applyFont="1" applyBorder="1"/>
    <xf numFmtId="0" fontId="53" fillId="0" borderId="0" xfId="0" applyFont="1" applyBorder="1"/>
    <xf numFmtId="0" fontId="17" fillId="0" borderId="51" xfId="0" applyFont="1" applyBorder="1"/>
    <xf numFmtId="0" fontId="17" fillId="0" borderId="56" xfId="0" applyFont="1" applyBorder="1"/>
    <xf numFmtId="3" fontId="16" fillId="0" borderId="1" xfId="0" applyNumberFormat="1" applyFont="1" applyFill="1" applyBorder="1" applyAlignment="1">
      <alignment vertical="center"/>
    </xf>
    <xf numFmtId="3" fontId="23" fillId="0" borderId="1" xfId="0" applyNumberFormat="1" applyFont="1" applyFill="1" applyBorder="1" applyAlignment="1">
      <alignment vertical="center"/>
    </xf>
    <xf numFmtId="3" fontId="34" fillId="7" borderId="1" xfId="0" applyNumberFormat="1" applyFont="1" applyFill="1" applyBorder="1" applyAlignment="1">
      <alignment vertical="center"/>
    </xf>
    <xf numFmtId="3" fontId="34" fillId="0" borderId="1" xfId="0" applyNumberFormat="1" applyFont="1" applyBorder="1" applyAlignment="1">
      <alignment vertical="center"/>
    </xf>
    <xf numFmtId="3" fontId="67" fillId="0" borderId="1" xfId="0" applyNumberFormat="1" applyFont="1" applyBorder="1" applyAlignment="1">
      <alignment vertical="center"/>
    </xf>
    <xf numFmtId="3" fontId="68" fillId="0" borderId="1" xfId="0" applyNumberFormat="1" applyFont="1" applyBorder="1" applyAlignment="1">
      <alignment vertical="center"/>
    </xf>
    <xf numFmtId="3" fontId="67" fillId="7" borderId="1" xfId="0" applyNumberFormat="1" applyFont="1" applyFill="1" applyBorder="1" applyAlignment="1">
      <alignment vertical="center"/>
    </xf>
    <xf numFmtId="3" fontId="18" fillId="0" borderId="0" xfId="0" applyNumberFormat="1" applyFont="1"/>
    <xf numFmtId="0" fontId="69" fillId="0" borderId="1" xfId="0" applyFont="1" applyBorder="1"/>
    <xf numFmtId="3" fontId="10" fillId="0" borderId="5" xfId="0" applyNumberFormat="1" applyFont="1" applyBorder="1" applyAlignment="1">
      <alignment horizontal="right"/>
    </xf>
    <xf numFmtId="3" fontId="61" fillId="0" borderId="0" xfId="0" applyNumberFormat="1" applyFont="1"/>
    <xf numFmtId="3" fontId="15" fillId="0" borderId="0" xfId="0" applyNumberFormat="1" applyFont="1"/>
    <xf numFmtId="0" fontId="42" fillId="0" borderId="0" xfId="0" applyFont="1"/>
    <xf numFmtId="0" fontId="47" fillId="0" borderId="1" xfId="0" applyFont="1" applyBorder="1" applyAlignment="1">
      <alignment horizontal="left" wrapText="1"/>
    </xf>
    <xf numFmtId="0" fontId="53" fillId="0" borderId="0" xfId="0" applyFont="1" applyAlignment="1">
      <alignment horizontal="center" vertical="center"/>
    </xf>
    <xf numFmtId="0" fontId="70" fillId="0" borderId="0" xfId="0" applyFont="1"/>
    <xf numFmtId="0" fontId="70" fillId="0" borderId="0" xfId="0" applyFont="1" applyBorder="1"/>
    <xf numFmtId="0" fontId="27" fillId="0" borderId="0" xfId="0" applyFont="1" applyBorder="1"/>
    <xf numFmtId="3" fontId="27" fillId="0" borderId="0" xfId="0" applyNumberFormat="1" applyFont="1" applyBorder="1"/>
    <xf numFmtId="0" fontId="22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right" vertical="center" wrapText="1"/>
    </xf>
    <xf numFmtId="0" fontId="5" fillId="0" borderId="0" xfId="0" applyFont="1"/>
    <xf numFmtId="0" fontId="5" fillId="0" borderId="0" xfId="0" applyFont="1" applyBorder="1"/>
    <xf numFmtId="0" fontId="44" fillId="0" borderId="0" xfId="0" applyFont="1" applyAlignment="1">
      <alignment horizontal="left"/>
    </xf>
    <xf numFmtId="0" fontId="53" fillId="0" borderId="0" xfId="0" applyFont="1" applyAlignment="1">
      <alignment horizontal="left" wrapText="1"/>
    </xf>
    <xf numFmtId="0" fontId="57" fillId="0" borderId="0" xfId="0" applyFont="1" applyAlignment="1">
      <alignment horizontal="left" wrapText="1"/>
    </xf>
    <xf numFmtId="49" fontId="47" fillId="0" borderId="1" xfId="0" applyNumberFormat="1" applyFont="1" applyBorder="1" applyAlignment="1">
      <alignment horizontal="left" wrapText="1"/>
    </xf>
    <xf numFmtId="49" fontId="44" fillId="0" borderId="1" xfId="0" applyNumberFormat="1" applyFont="1" applyFill="1" applyBorder="1" applyAlignment="1">
      <alignment horizontal="left" wrapText="1"/>
    </xf>
    <xf numFmtId="49" fontId="47" fillId="0" borderId="1" xfId="0" applyNumberFormat="1" applyFont="1" applyFill="1" applyBorder="1" applyAlignment="1">
      <alignment horizontal="left" wrapText="1"/>
    </xf>
    <xf numFmtId="49" fontId="47" fillId="4" borderId="1" xfId="0" applyNumberFormat="1" applyFont="1" applyFill="1" applyBorder="1" applyAlignment="1">
      <alignment horizontal="left" wrapText="1"/>
    </xf>
    <xf numFmtId="49" fontId="44" fillId="0" borderId="1" xfId="0" applyNumberFormat="1" applyFont="1" applyBorder="1" applyAlignment="1">
      <alignment horizontal="left" wrapText="1"/>
    </xf>
    <xf numFmtId="49" fontId="47" fillId="6" borderId="1" xfId="0" applyNumberFormat="1" applyFont="1" applyFill="1" applyBorder="1" applyAlignment="1">
      <alignment horizontal="left" wrapText="1"/>
    </xf>
    <xf numFmtId="49" fontId="55" fillId="0" borderId="1" xfId="0" applyNumberFormat="1" applyFont="1" applyBorder="1" applyAlignment="1">
      <alignment horizontal="left" wrapText="1"/>
    </xf>
    <xf numFmtId="49" fontId="57" fillId="0" borderId="0" xfId="0" applyNumberFormat="1" applyFont="1" applyBorder="1" applyAlignment="1">
      <alignment horizontal="left" wrapText="1"/>
    </xf>
    <xf numFmtId="0" fontId="57" fillId="0" borderId="1" xfId="0" applyFont="1" applyFill="1" applyBorder="1" applyAlignment="1">
      <alignment horizontal="left" wrapText="1"/>
    </xf>
    <xf numFmtId="0" fontId="47" fillId="0" borderId="1" xfId="0" applyFont="1" applyFill="1" applyBorder="1" applyAlignment="1">
      <alignment horizontal="left" wrapText="1"/>
    </xf>
    <xf numFmtId="0" fontId="55" fillId="0" borderId="1" xfId="0" applyFont="1" applyFill="1" applyBorder="1" applyAlignment="1">
      <alignment horizontal="left" wrapText="1"/>
    </xf>
    <xf numFmtId="49" fontId="42" fillId="0" borderId="1" xfId="0" applyNumberFormat="1" applyFont="1" applyFill="1" applyBorder="1" applyAlignment="1">
      <alignment horizontal="left" wrapText="1"/>
    </xf>
    <xf numFmtId="0" fontId="53" fillId="0" borderId="0" xfId="0" applyFont="1" applyBorder="1" applyAlignment="1">
      <alignment horizontal="left" wrapText="1"/>
    </xf>
    <xf numFmtId="0" fontId="63" fillId="0" borderId="0" xfId="0" applyFont="1" applyBorder="1" applyAlignment="1">
      <alignment horizontal="left" wrapText="1"/>
    </xf>
    <xf numFmtId="0" fontId="53" fillId="0" borderId="0" xfId="0" applyFont="1" applyFill="1" applyBorder="1" applyAlignment="1">
      <alignment horizontal="left" wrapText="1"/>
    </xf>
    <xf numFmtId="0" fontId="63" fillId="0" borderId="0" xfId="0" applyFont="1" applyFill="1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49" fontId="47" fillId="0" borderId="1" xfId="0" applyNumberFormat="1" applyFont="1" applyBorder="1" applyAlignment="1">
      <alignment horizontal="left" vertical="center" wrapText="1"/>
    </xf>
    <xf numFmtId="49" fontId="44" fillId="0" borderId="1" xfId="0" applyNumberFormat="1" applyFont="1" applyFill="1" applyBorder="1" applyAlignment="1">
      <alignment horizontal="left" vertical="center" wrapText="1"/>
    </xf>
    <xf numFmtId="49" fontId="47" fillId="0" borderId="1" xfId="0" applyNumberFormat="1" applyFont="1" applyFill="1" applyBorder="1" applyAlignment="1">
      <alignment horizontal="left" vertical="center" wrapText="1"/>
    </xf>
    <xf numFmtId="49" fontId="47" fillId="4" borderId="1" xfId="0" applyNumberFormat="1" applyFont="1" applyFill="1" applyBorder="1" applyAlignment="1">
      <alignment horizontal="left" vertical="center" wrapText="1"/>
    </xf>
    <xf numFmtId="49" fontId="44" fillId="0" borderId="1" xfId="0" applyNumberFormat="1" applyFont="1" applyBorder="1" applyAlignment="1">
      <alignment horizontal="left" vertical="center" wrapText="1"/>
    </xf>
    <xf numFmtId="49" fontId="47" fillId="6" borderId="1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3" fontId="9" fillId="0" borderId="1" xfId="6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3" fontId="9" fillId="0" borderId="6" xfId="0" applyNumberFormat="1" applyFont="1" applyFill="1" applyBorder="1"/>
    <xf numFmtId="3" fontId="11" fillId="0" borderId="6" xfId="0" applyNumberFormat="1" applyFont="1" applyFill="1" applyBorder="1"/>
    <xf numFmtId="3" fontId="0" fillId="0" borderId="2" xfId="0" applyNumberFormat="1" applyBorder="1" applyAlignment="1">
      <alignment horizontal="right"/>
    </xf>
    <xf numFmtId="3" fontId="11" fillId="0" borderId="6" xfId="0" applyNumberFormat="1" applyFont="1" applyBorder="1"/>
    <xf numFmtId="0" fontId="44" fillId="0" borderId="6" xfId="0" applyFont="1" applyBorder="1" applyAlignment="1">
      <alignment horizontal="center"/>
    </xf>
    <xf numFmtId="49" fontId="11" fillId="0" borderId="6" xfId="0" applyNumberFormat="1" applyFont="1" applyBorder="1" applyAlignment="1">
      <alignment wrapText="1"/>
    </xf>
    <xf numFmtId="4" fontId="12" fillId="0" borderId="0" xfId="0" applyNumberFormat="1" applyFont="1" applyAlignment="1">
      <alignment wrapText="1"/>
    </xf>
    <xf numFmtId="4" fontId="11" fillId="0" borderId="1" xfId="0" applyNumberFormat="1" applyFont="1" applyBorder="1" applyAlignment="1">
      <alignment horizontal="center" wrapText="1"/>
    </xf>
    <xf numFmtId="4" fontId="22" fillId="0" borderId="1" xfId="0" applyNumberFormat="1" applyFont="1" applyBorder="1" applyAlignment="1">
      <alignment wrapText="1"/>
    </xf>
    <xf numFmtId="4" fontId="11" fillId="0" borderId="0" xfId="0" applyNumberFormat="1" applyFont="1" applyBorder="1" applyAlignment="1">
      <alignment wrapText="1"/>
    </xf>
    <xf numFmtId="4" fontId="12" fillId="0" borderId="0" xfId="0" applyNumberFormat="1" applyFont="1" applyBorder="1" applyAlignment="1">
      <alignment wrapText="1"/>
    </xf>
    <xf numFmtId="4" fontId="13" fillId="0" borderId="0" xfId="0" applyNumberFormat="1" applyFont="1" applyBorder="1" applyAlignment="1">
      <alignment wrapText="1"/>
    </xf>
    <xf numFmtId="4" fontId="20" fillId="2" borderId="0" xfId="0" applyNumberFormat="1" applyFont="1" applyFill="1" applyBorder="1" applyAlignment="1">
      <alignment wrapText="1"/>
    </xf>
    <xf numFmtId="4" fontId="9" fillId="0" borderId="0" xfId="0" applyNumberFormat="1" applyFont="1" applyBorder="1" applyAlignment="1">
      <alignment wrapText="1"/>
    </xf>
    <xf numFmtId="4" fontId="0" fillId="0" borderId="0" xfId="0" applyNumberFormat="1"/>
    <xf numFmtId="3" fontId="9" fillId="0" borderId="1" xfId="0" applyNumberFormat="1" applyFont="1" applyBorder="1" applyAlignment="1">
      <alignment wrapText="1"/>
    </xf>
    <xf numFmtId="49" fontId="47" fillId="6" borderId="7" xfId="0" applyNumberFormat="1" applyFont="1" applyFill="1" applyBorder="1" applyAlignment="1">
      <alignment horizontal="left" vertical="center" wrapText="1"/>
    </xf>
    <xf numFmtId="0" fontId="57" fillId="0" borderId="8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left" vertical="center" wrapText="1"/>
    </xf>
    <xf numFmtId="3" fontId="9" fillId="0" borderId="6" xfId="0" applyNumberFormat="1" applyFont="1" applyBorder="1"/>
    <xf numFmtId="3" fontId="0" fillId="0" borderId="6" xfId="0" applyNumberFormat="1" applyBorder="1"/>
    <xf numFmtId="0" fontId="53" fillId="0" borderId="2" xfId="0" applyFont="1" applyBorder="1" applyAlignment="1">
      <alignment horizontal="center"/>
    </xf>
    <xf numFmtId="49" fontId="10" fillId="0" borderId="2" xfId="0" applyNumberFormat="1" applyFont="1" applyBorder="1" applyAlignment="1">
      <alignment horizontal="left" vertical="center" wrapText="1"/>
    </xf>
    <xf numFmtId="49" fontId="0" fillId="0" borderId="2" xfId="0" applyNumberFormat="1" applyFill="1" applyBorder="1" applyAlignment="1"/>
    <xf numFmtId="49" fontId="0" fillId="0" borderId="2" xfId="0" applyNumberFormat="1" applyBorder="1"/>
    <xf numFmtId="0" fontId="0" fillId="0" borderId="2" xfId="0" applyFill="1" applyBorder="1"/>
    <xf numFmtId="3" fontId="0" fillId="0" borderId="2" xfId="0" applyNumberFormat="1" applyBorder="1" applyAlignment="1"/>
    <xf numFmtId="3" fontId="0" fillId="0" borderId="2" xfId="0" applyNumberFormat="1" applyBorder="1"/>
    <xf numFmtId="0" fontId="0" fillId="0" borderId="2" xfId="0" applyBorder="1" applyAlignment="1">
      <alignment horizontal="center"/>
    </xf>
    <xf numFmtId="49" fontId="10" fillId="0" borderId="2" xfId="0" applyNumberFormat="1" applyFont="1" applyBorder="1" applyAlignment="1">
      <alignment horizontal="center" wrapText="1"/>
    </xf>
    <xf numFmtId="3" fontId="0" fillId="0" borderId="2" xfId="0" applyNumberFormat="1" applyFill="1" applyBorder="1" applyAlignment="1"/>
    <xf numFmtId="3" fontId="0" fillId="0" borderId="2" xfId="0" applyNumberFormat="1" applyFill="1" applyBorder="1"/>
    <xf numFmtId="0" fontId="0" fillId="0" borderId="2" xfId="0" applyBorder="1"/>
    <xf numFmtId="3" fontId="4" fillId="0" borderId="0" xfId="0" applyNumberFormat="1" applyFont="1"/>
    <xf numFmtId="3" fontId="71" fillId="7" borderId="0" xfId="0" applyNumberFormat="1" applyFont="1" applyFill="1"/>
    <xf numFmtId="3" fontId="71" fillId="0" borderId="0" xfId="0" applyNumberFormat="1" applyFont="1"/>
    <xf numFmtId="3" fontId="72" fillId="0" borderId="1" xfId="0" applyNumberFormat="1" applyFont="1" applyBorder="1" applyAlignment="1">
      <alignment vertical="center"/>
    </xf>
    <xf numFmtId="3" fontId="72" fillId="0" borderId="1" xfId="0" applyNumberFormat="1" applyFont="1" applyBorder="1" applyAlignment="1">
      <alignment vertical="center" wrapText="1"/>
    </xf>
    <xf numFmtId="3" fontId="4" fillId="0" borderId="0" xfId="0" applyNumberFormat="1" applyFont="1" applyBorder="1"/>
    <xf numFmtId="0" fontId="0" fillId="0" borderId="2" xfId="0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1" xfId="0" applyNumberFormat="1" applyFont="1" applyBorder="1"/>
    <xf numFmtId="49" fontId="47" fillId="6" borderId="7" xfId="0" applyNumberFormat="1" applyFont="1" applyFill="1" applyBorder="1" applyAlignment="1">
      <alignment horizontal="center" vertical="center"/>
    </xf>
    <xf numFmtId="3" fontId="11" fillId="0" borderId="7" xfId="0" applyNumberFormat="1" applyFont="1" applyFill="1" applyBorder="1" applyAlignment="1">
      <alignment vertical="center"/>
    </xf>
    <xf numFmtId="3" fontId="11" fillId="0" borderId="7" xfId="0" applyNumberFormat="1" applyFont="1" applyBorder="1" applyAlignment="1">
      <alignment vertical="center"/>
    </xf>
    <xf numFmtId="3" fontId="15" fillId="0" borderId="7" xfId="0" applyNumberFormat="1" applyFont="1" applyBorder="1" applyAlignment="1">
      <alignment vertical="center"/>
    </xf>
    <xf numFmtId="49" fontId="47" fillId="4" borderId="1" xfId="0" applyNumberFormat="1" applyFont="1" applyFill="1" applyBorder="1" applyAlignment="1">
      <alignment horizontal="center" vertical="center"/>
    </xf>
    <xf numFmtId="3" fontId="11" fillId="0" borderId="5" xfId="0" applyNumberFormat="1" applyFont="1" applyBorder="1" applyAlignment="1">
      <alignment vertical="center"/>
    </xf>
    <xf numFmtId="49" fontId="47" fillId="6" borderId="1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right"/>
    </xf>
    <xf numFmtId="0" fontId="73" fillId="0" borderId="1" xfId="0" applyFont="1" applyFill="1" applyBorder="1" applyAlignment="1">
      <alignment horizontal="center" vertical="center" wrapText="1"/>
    </xf>
    <xf numFmtId="3" fontId="42" fillId="0" borderId="1" xfId="0" applyNumberFormat="1" applyFont="1" applyBorder="1"/>
    <xf numFmtId="3" fontId="54" fillId="4" borderId="1" xfId="0" applyNumberFormat="1" applyFont="1" applyFill="1" applyBorder="1"/>
    <xf numFmtId="3" fontId="54" fillId="6" borderId="1" xfId="0" applyNumberFormat="1" applyFont="1" applyFill="1" applyBorder="1"/>
    <xf numFmtId="3" fontId="54" fillId="0" borderId="1" xfId="0" applyNumberFormat="1" applyFont="1" applyBorder="1"/>
    <xf numFmtId="3" fontId="60" fillId="0" borderId="0" xfId="0" applyNumberFormat="1" applyFont="1" applyBorder="1"/>
    <xf numFmtId="3" fontId="60" fillId="0" borderId="0" xfId="0" applyNumberFormat="1" applyFont="1" applyFill="1" applyBorder="1"/>
    <xf numFmtId="0" fontId="74" fillId="0" borderId="0" xfId="0" applyFont="1" applyAlignment="1">
      <alignment horizontal="center" wrapText="1"/>
    </xf>
    <xf numFmtId="0" fontId="54" fillId="0" borderId="1" xfId="0" applyFont="1" applyBorder="1" applyAlignment="1">
      <alignment horizontal="center" vertical="center" wrapText="1"/>
    </xf>
    <xf numFmtId="1" fontId="42" fillId="0" borderId="1" xfId="0" applyNumberFormat="1" applyFont="1" applyFill="1" applyBorder="1"/>
    <xf numFmtId="3" fontId="27" fillId="8" borderId="8" xfId="0" applyNumberFormat="1" applyFont="1" applyFill="1" applyBorder="1"/>
    <xf numFmtId="3" fontId="27" fillId="8" borderId="1" xfId="0" applyNumberFormat="1" applyFont="1" applyFill="1" applyBorder="1"/>
    <xf numFmtId="3" fontId="24" fillId="8" borderId="1" xfId="0" applyNumberFormat="1" applyFont="1" applyFill="1" applyBorder="1"/>
    <xf numFmtId="0" fontId="23" fillId="8" borderId="1" xfId="0" applyFont="1" applyFill="1" applyBorder="1"/>
    <xf numFmtId="3" fontId="42" fillId="0" borderId="7" xfId="0" applyNumberFormat="1" applyFont="1" applyFill="1" applyBorder="1"/>
    <xf numFmtId="3" fontId="42" fillId="0" borderId="0" xfId="0" applyNumberFormat="1" applyFont="1" applyFill="1" applyBorder="1"/>
    <xf numFmtId="3" fontId="42" fillId="0" borderId="6" xfId="0" applyNumberFormat="1" applyFont="1" applyFill="1" applyBorder="1"/>
    <xf numFmtId="3" fontId="9" fillId="0" borderId="1" xfId="0" applyNumberFormat="1" applyFont="1" applyFill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4" fillId="0" borderId="1" xfId="0" applyFont="1" applyBorder="1"/>
    <xf numFmtId="2" fontId="11" fillId="0" borderId="23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49" fontId="11" fillId="0" borderId="26" xfId="0" applyNumberFormat="1" applyFont="1" applyBorder="1" applyAlignment="1">
      <alignment horizontal="center" vertical="center" wrapText="1"/>
    </xf>
    <xf numFmtId="49" fontId="11" fillId="0" borderId="25" xfId="0" applyNumberFormat="1" applyFont="1" applyBorder="1" applyAlignment="1">
      <alignment horizontal="center" vertical="center" wrapText="1"/>
    </xf>
    <xf numFmtId="2" fontId="11" fillId="0" borderId="49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vertical="center" wrapText="1"/>
    </xf>
    <xf numFmtId="3" fontId="9" fillId="0" borderId="22" xfId="0" applyNumberFormat="1" applyFont="1" applyBorder="1" applyAlignment="1">
      <alignment vertical="center"/>
    </xf>
    <xf numFmtId="3" fontId="9" fillId="0" borderId="8" xfId="0" applyNumberFormat="1" applyFont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3" fontId="9" fillId="0" borderId="8" xfId="0" applyNumberFormat="1" applyFont="1" applyBorder="1" applyAlignment="1">
      <alignment horizontal="right" vertical="center"/>
    </xf>
    <xf numFmtId="3" fontId="9" fillId="0" borderId="53" xfId="0" applyNumberFormat="1" applyFont="1" applyBorder="1" applyAlignment="1">
      <alignment horizontal="left" vertical="center" wrapText="1"/>
    </xf>
    <xf numFmtId="3" fontId="9" fillId="0" borderId="22" xfId="0" applyNumberFormat="1" applyFont="1" applyBorder="1" applyAlignment="1">
      <alignment horizontal="right" vertical="center"/>
    </xf>
    <xf numFmtId="3" fontId="9" fillId="0" borderId="8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3" fontId="9" fillId="0" borderId="4" xfId="0" applyNumberFormat="1" applyFont="1" applyBorder="1" applyAlignment="1">
      <alignment vertical="center"/>
    </xf>
    <xf numFmtId="0" fontId="9" fillId="0" borderId="47" xfId="0" applyFont="1" applyBorder="1" applyAlignment="1">
      <alignment horizontal="left" vertical="center" wrapText="1"/>
    </xf>
    <xf numFmtId="3" fontId="9" fillId="0" borderId="4" xfId="0" applyNumberFormat="1" applyFont="1" applyBorder="1" applyAlignment="1">
      <alignment horizontal="right" vertical="center"/>
    </xf>
    <xf numFmtId="3" fontId="9" fillId="0" borderId="47" xfId="0" applyNumberFormat="1" applyFont="1" applyBorder="1" applyAlignment="1">
      <alignment horizontal="left" vertical="center" wrapText="1"/>
    </xf>
    <xf numFmtId="3" fontId="9" fillId="0" borderId="4" xfId="0" applyNumberFormat="1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3" fontId="11" fillId="0" borderId="4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47" xfId="0" applyFont="1" applyBorder="1" applyAlignment="1">
      <alignment vertical="center" wrapText="1"/>
    </xf>
    <xf numFmtId="3" fontId="11" fillId="0" borderId="4" xfId="0" applyNumberFormat="1" applyFont="1" applyBorder="1" applyAlignment="1">
      <alignment vertical="center"/>
    </xf>
    <xf numFmtId="49" fontId="11" fillId="0" borderId="10" xfId="0" applyNumberFormat="1" applyFont="1" applyBorder="1" applyAlignment="1">
      <alignment horizontal="center" vertical="center"/>
    </xf>
    <xf numFmtId="0" fontId="9" fillId="0" borderId="47" xfId="0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vertical="center" wrapText="1"/>
    </xf>
    <xf numFmtId="0" fontId="0" fillId="0" borderId="47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9" fillId="0" borderId="4" xfId="0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3" fontId="11" fillId="0" borderId="16" xfId="0" applyNumberFormat="1" applyFont="1" applyBorder="1" applyAlignment="1">
      <alignment vertical="center"/>
    </xf>
    <xf numFmtId="0" fontId="10" fillId="0" borderId="5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0" fillId="0" borderId="57" xfId="0" applyFont="1" applyBorder="1" applyAlignment="1">
      <alignment horizontal="left" vertical="center"/>
    </xf>
    <xf numFmtId="3" fontId="11" fillId="0" borderId="13" xfId="0" applyNumberFormat="1" applyFont="1" applyBorder="1" applyAlignment="1">
      <alignment vertical="center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0" xfId="0" applyBorder="1" applyAlignment="1">
      <alignment wrapText="1"/>
    </xf>
    <xf numFmtId="0" fontId="9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5" fillId="0" borderId="0" xfId="0" applyFont="1" applyBorder="1" applyAlignment="1">
      <alignment horizontal="center" wrapText="1"/>
    </xf>
    <xf numFmtId="3" fontId="9" fillId="0" borderId="2" xfId="0" applyNumberFormat="1" applyFon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3" fontId="10" fillId="0" borderId="5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0" fillId="0" borderId="1" xfId="0" applyFont="1" applyBorder="1" applyAlignment="1" applyProtection="1">
      <alignment horizontal="center" vertical="center" wrapText="1"/>
      <protection locked="0" hidden="1"/>
    </xf>
    <xf numFmtId="0" fontId="28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8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/>
    <xf numFmtId="0" fontId="18" fillId="0" borderId="0" xfId="0" applyFont="1" applyAlignment="1">
      <alignment horizontal="center" vertical="center" wrapText="1"/>
    </xf>
    <xf numFmtId="3" fontId="11" fillId="0" borderId="7" xfId="0" applyNumberFormat="1" applyFont="1" applyBorder="1" applyAlignment="1">
      <alignment horizontal="center" wrapText="1"/>
    </xf>
    <xf numFmtId="3" fontId="11" fillId="0" borderId="8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wrapText="1"/>
    </xf>
    <xf numFmtId="0" fontId="16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17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0" xfId="0" applyNumberFormat="1" applyAlignment="1">
      <alignment horizontal="left" wrapText="1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69" fontId="32" fillId="0" borderId="39" xfId="0" applyNumberFormat="1" applyFont="1" applyBorder="1" applyAlignment="1">
      <alignment horizontal="center" vertical="center" wrapText="1"/>
    </xf>
    <xf numFmtId="169" fontId="32" fillId="0" borderId="44" xfId="0" applyNumberFormat="1" applyFont="1" applyBorder="1" applyAlignment="1">
      <alignment horizontal="center" vertical="center" wrapText="1"/>
    </xf>
    <xf numFmtId="169" fontId="32" fillId="0" borderId="29" xfId="0" applyNumberFormat="1" applyFont="1" applyBorder="1" applyAlignment="1">
      <alignment horizontal="center" vertical="center" wrapText="1"/>
    </xf>
    <xf numFmtId="169" fontId="32" fillId="0" borderId="40" xfId="0" applyNumberFormat="1" applyFont="1" applyBorder="1" applyAlignment="1">
      <alignment horizontal="center" vertical="center" wrapText="1"/>
    </xf>
    <xf numFmtId="169" fontId="32" fillId="0" borderId="30" xfId="0" applyNumberFormat="1" applyFont="1" applyBorder="1" applyAlignment="1">
      <alignment horizontal="center" vertical="center" wrapText="1"/>
    </xf>
    <xf numFmtId="169" fontId="32" fillId="0" borderId="41" xfId="0" applyNumberFormat="1" applyFont="1" applyBorder="1" applyAlignment="1">
      <alignment horizontal="center" vertical="center" wrapText="1"/>
    </xf>
    <xf numFmtId="169" fontId="32" fillId="0" borderId="41" xfId="0" applyNumberFormat="1" applyFont="1" applyBorder="1" applyAlignment="1">
      <alignment horizontal="center" vertical="center"/>
    </xf>
  </cellXfs>
  <cellStyles count="10">
    <cellStyle name="Ezres" xfId="6" builtinId="3"/>
    <cellStyle name="Ezres 2" xfId="9" xr:uid="{00000000-0005-0000-0000-000001000000}"/>
    <cellStyle name="Normál" xfId="0" builtinId="0"/>
    <cellStyle name="Normál 2" xfId="1" xr:uid="{00000000-0005-0000-0000-000003000000}"/>
    <cellStyle name="Normál 2 2" xfId="2" xr:uid="{00000000-0005-0000-0000-000004000000}"/>
    <cellStyle name="Normál 3" xfId="4" xr:uid="{00000000-0005-0000-0000-000005000000}"/>
    <cellStyle name="Normál_KVRENMUNKA" xfId="8" xr:uid="{00000000-0005-0000-0000-000006000000}"/>
    <cellStyle name="Pénznem 2" xfId="3" xr:uid="{00000000-0005-0000-0000-000007000000}"/>
    <cellStyle name="Pénznem 3" xfId="5" xr:uid="{00000000-0005-0000-0000-000008000000}"/>
    <cellStyle name="Százalék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T70"/>
  <sheetViews>
    <sheetView showWhiteSpace="0" view="pageBreakPreview" topLeftCell="A25" zoomScale="85" zoomScaleNormal="100" zoomScaleSheetLayoutView="85" workbookViewId="0">
      <selection activeCell="M1" sqref="M1:P2"/>
    </sheetView>
  </sheetViews>
  <sheetFormatPr defaultRowHeight="15" x14ac:dyDescent="0.25"/>
  <cols>
    <col min="1" max="1" width="9.28515625" style="3" customWidth="1"/>
    <col min="2" max="2" width="52.28515625" style="2" bestFit="1" customWidth="1"/>
    <col min="3" max="3" width="13.5703125" customWidth="1"/>
    <col min="4" max="4" width="13.28515625" style="181" hidden="1" customWidth="1"/>
    <col min="5" max="5" width="11.7109375" style="181" hidden="1" customWidth="1"/>
    <col min="6" max="6" width="11.7109375" style="181" customWidth="1"/>
    <col min="7" max="7" width="11.7109375" customWidth="1"/>
    <col min="8" max="9" width="11.7109375" style="181" hidden="1" customWidth="1"/>
    <col min="10" max="10" width="11.7109375" style="181" customWidth="1"/>
    <col min="11" max="11" width="10.28515625" customWidth="1"/>
    <col min="12" max="12" width="10.28515625" style="181" customWidth="1"/>
    <col min="13" max="13" width="12.7109375" customWidth="1"/>
    <col min="14" max="15" width="12.7109375" style="181" hidden="1" customWidth="1"/>
    <col min="16" max="16" width="12.7109375" style="181" customWidth="1"/>
    <col min="17" max="17" width="12.42578125" style="310" bestFit="1" customWidth="1"/>
    <col min="18" max="18" width="13" style="311" customWidth="1"/>
    <col min="20" max="20" width="12.7109375" bestFit="1" customWidth="1"/>
  </cols>
  <sheetData>
    <row r="1" spans="1:18" ht="34.9" customHeight="1" x14ac:dyDescent="0.25">
      <c r="B1" s="481" t="s">
        <v>518</v>
      </c>
      <c r="C1" s="872" t="s">
        <v>42</v>
      </c>
      <c r="D1" s="872"/>
      <c r="E1" s="872"/>
      <c r="F1" s="872"/>
      <c r="G1" s="872"/>
      <c r="H1" s="872"/>
      <c r="I1" s="872"/>
      <c r="J1" s="872"/>
      <c r="K1" s="182"/>
      <c r="L1" s="182"/>
      <c r="M1" s="873" t="s">
        <v>494</v>
      </c>
      <c r="N1" s="873"/>
      <c r="O1" s="873"/>
      <c r="P1" s="873"/>
    </row>
    <row r="2" spans="1:18" ht="25.15" customHeight="1" x14ac:dyDescent="0.25">
      <c r="B2" s="479"/>
      <c r="C2" s="872" t="s">
        <v>331</v>
      </c>
      <c r="D2" s="872"/>
      <c r="E2" s="872"/>
      <c r="F2" s="872"/>
      <c r="G2" s="872"/>
      <c r="H2" s="872"/>
      <c r="I2" s="872"/>
      <c r="J2" s="872"/>
      <c r="K2" s="183"/>
      <c r="L2" s="183"/>
      <c r="M2" s="873"/>
      <c r="N2" s="873"/>
      <c r="O2" s="873"/>
      <c r="P2" s="873"/>
    </row>
    <row r="3" spans="1:18" ht="24" customHeight="1" x14ac:dyDescent="0.25">
      <c r="A3" s="315"/>
      <c r="B3" s="314" t="s">
        <v>43</v>
      </c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51"/>
      <c r="O3" s="550" t="s">
        <v>400</v>
      </c>
      <c r="P3" s="791"/>
      <c r="Q3" s="293"/>
      <c r="R3" s="255"/>
    </row>
    <row r="4" spans="1:18" ht="60" x14ac:dyDescent="0.25">
      <c r="A4" s="241" t="s">
        <v>31</v>
      </c>
      <c r="B4" s="242" t="s">
        <v>32</v>
      </c>
      <c r="C4" s="629" t="s">
        <v>418</v>
      </c>
      <c r="D4" s="584" t="s">
        <v>537</v>
      </c>
      <c r="E4" s="585" t="s">
        <v>538</v>
      </c>
      <c r="F4" s="586" t="s">
        <v>539</v>
      </c>
      <c r="G4" s="629" t="s">
        <v>419</v>
      </c>
      <c r="H4" s="630" t="s">
        <v>423</v>
      </c>
      <c r="I4" s="585" t="s">
        <v>423</v>
      </c>
      <c r="J4" s="586" t="s">
        <v>423</v>
      </c>
      <c r="K4" s="629" t="s">
        <v>420</v>
      </c>
      <c r="L4" s="630" t="s">
        <v>424</v>
      </c>
      <c r="M4" s="586" t="s">
        <v>421</v>
      </c>
      <c r="N4" s="587" t="s">
        <v>541</v>
      </c>
      <c r="O4" s="588" t="s">
        <v>542</v>
      </c>
      <c r="P4" s="588" t="s">
        <v>540</v>
      </c>
      <c r="Q4" s="259" t="s">
        <v>589</v>
      </c>
      <c r="R4" s="256" t="s">
        <v>351</v>
      </c>
    </row>
    <row r="5" spans="1:18" s="180" customFormat="1" ht="12.75" customHeight="1" x14ac:dyDescent="0.25">
      <c r="A5" s="286" t="s">
        <v>12</v>
      </c>
      <c r="B5" s="287" t="s">
        <v>79</v>
      </c>
      <c r="C5" s="285">
        <f>+'2. önkorm.bevkiad'!C5+'3-10 önálló int.be-ki.'!EA5</f>
        <v>811553548</v>
      </c>
      <c r="D5" s="285">
        <f>+'2. önkorm.bevkiad'!D5+'3-10 önálló int.be-ki.'!EB5</f>
        <v>852246572</v>
      </c>
      <c r="E5" s="285">
        <f>+'2. önkorm.bevkiad'!E5+'3-10 önálló int.be-ki.'!EC5</f>
        <v>852246572</v>
      </c>
      <c r="F5" s="285">
        <f>+'2. önkorm.bevkiad'!F5+'3-10 önálló int.be-ki.'!ED5</f>
        <v>968787014</v>
      </c>
      <c r="G5" s="294">
        <f>+'2. önkorm.bevkiad'!G5+'3-10 önálló int.be-ki.'!EE5</f>
        <v>0</v>
      </c>
      <c r="H5" s="294">
        <f>+'2. önkorm.bevkiad'!H5+'3-10 önálló int.be-ki.'!EF5</f>
        <v>0</v>
      </c>
      <c r="I5" s="294">
        <f>+'2. önkorm.bevkiad'!I5+'3-10 önálló int.be-ki.'!EG5</f>
        <v>0</v>
      </c>
      <c r="J5" s="294">
        <f>+'2. önkorm.bevkiad'!J5+'3-10 önálló int.be-ki.'!EH5</f>
        <v>0</v>
      </c>
      <c r="K5" s="294">
        <f>+'2. önkorm.bevkiad'!K5+'3-10 önálló int.be-ki.'!EI5</f>
        <v>0</v>
      </c>
      <c r="L5" s="294">
        <f>+'2. önkorm.bevkiad'!L5+'3-10 önálló int.be-ki.'!EJ5</f>
        <v>0</v>
      </c>
      <c r="M5" s="294">
        <f>+'2. önkorm.bevkiad'!M5+'3-10 önálló int.be-ki.'!EK5</f>
        <v>811553548</v>
      </c>
      <c r="N5" s="294">
        <f>+'2. önkorm.bevkiad'!N5+'3-10 önálló int.be-ki.'!EL5</f>
        <v>852246572</v>
      </c>
      <c r="O5" s="294">
        <f>+'2. önkorm.bevkiad'!O5+'3-10 önálló int.be-ki.'!EM5</f>
        <v>852246572</v>
      </c>
      <c r="P5" s="294">
        <f>+'2. önkorm.bevkiad'!P5+'3-10 önálló int.be-ki.'!EN5</f>
        <v>968787014</v>
      </c>
      <c r="Q5" s="813">
        <v>860245</v>
      </c>
      <c r="R5" s="295">
        <v>771990</v>
      </c>
    </row>
    <row r="6" spans="1:18" s="180" customFormat="1" ht="12.75" customHeight="1" x14ac:dyDescent="0.25">
      <c r="A6" s="286" t="s">
        <v>13</v>
      </c>
      <c r="B6" s="287" t="s">
        <v>80</v>
      </c>
      <c r="C6" s="285">
        <f>+'2. önkorm.bevkiad'!C6+'3-10 önálló int.be-ki.'!EA6</f>
        <v>124471452</v>
      </c>
      <c r="D6" s="285">
        <f>+'2. önkorm.bevkiad'!D6+'3-10 önálló int.be-ki.'!EB6</f>
        <v>83778428</v>
      </c>
      <c r="E6" s="285">
        <f>+'2. önkorm.bevkiad'!E6+'3-10 önálló int.be-ki.'!EC6</f>
        <v>88725755</v>
      </c>
      <c r="F6" s="285">
        <f>+'2. önkorm.bevkiad'!F6+'3-10 önálló int.be-ki.'!ED6</f>
        <v>122484969</v>
      </c>
      <c r="G6" s="285">
        <f>+'2. önkorm.bevkiad'!G6+'3-10 önálló int.be-ki.'!EE6</f>
        <v>0</v>
      </c>
      <c r="H6" s="285">
        <f>+'2. önkorm.bevkiad'!H6+'3-10 önálló int.be-ki.'!EF6</f>
        <v>0</v>
      </c>
      <c r="I6" s="285">
        <f>+'2. önkorm.bevkiad'!I6+'3-10 önálló int.be-ki.'!EG6</f>
        <v>0</v>
      </c>
      <c r="J6" s="285">
        <f>+'2. önkorm.bevkiad'!J6+'3-10 önálló int.be-ki.'!EH6</f>
        <v>0</v>
      </c>
      <c r="K6" s="285">
        <f>+'2. önkorm.bevkiad'!K6+'3-10 önálló int.be-ki.'!EI6</f>
        <v>0</v>
      </c>
      <c r="L6" s="285">
        <f>+'2. önkorm.bevkiad'!L6+'3-10 önálló int.be-ki.'!EJ6</f>
        <v>0</v>
      </c>
      <c r="M6" s="285">
        <f>+'2. önkorm.bevkiad'!M6+'3-10 önálló int.be-ki.'!EK6</f>
        <v>124471452</v>
      </c>
      <c r="N6" s="285">
        <f>+'2. önkorm.bevkiad'!N6+'3-10 önálló int.be-ki.'!EL6</f>
        <v>83778428</v>
      </c>
      <c r="O6" s="285">
        <f>+'2. önkorm.bevkiad'!O6+'3-10 önálló int.be-ki.'!EM6</f>
        <v>88725755</v>
      </c>
      <c r="P6" s="285">
        <f>+'2. önkorm.bevkiad'!P6+'3-10 önálló int.be-ki.'!EN6</f>
        <v>122484969</v>
      </c>
      <c r="Q6" s="814">
        <v>100639</v>
      </c>
      <c r="R6" s="257">
        <v>65136</v>
      </c>
    </row>
    <row r="7" spans="1:18" ht="12.75" customHeight="1" x14ac:dyDescent="0.25">
      <c r="A7" s="282" t="s">
        <v>54</v>
      </c>
      <c r="B7" s="283" t="s">
        <v>81</v>
      </c>
      <c r="C7" s="284">
        <f>+'2. önkorm.bevkiad'!C7+'3-10 önálló int.be-ki.'!EA7</f>
        <v>120471452</v>
      </c>
      <c r="D7" s="284">
        <f>+'2. önkorm.bevkiad'!D7+'3-10 önálló int.be-ki.'!EB7</f>
        <v>79778428</v>
      </c>
      <c r="E7" s="284">
        <f>+'2. önkorm.bevkiad'!E7+'3-10 önálló int.be-ki.'!EC7</f>
        <v>81872855</v>
      </c>
      <c r="F7" s="284">
        <f>+'2. önkorm.bevkiad'!F7+'3-10 önálló int.be-ki.'!ED7</f>
        <v>102484969</v>
      </c>
      <c r="G7" s="284">
        <f>+'2. önkorm.bevkiad'!G7+'3-10 önálló int.be-ki.'!EE7</f>
        <v>0</v>
      </c>
      <c r="H7" s="284">
        <f>+'2. önkorm.bevkiad'!H7+'3-10 önálló int.be-ki.'!EF7</f>
        <v>0</v>
      </c>
      <c r="I7" s="284">
        <f>+'2. önkorm.bevkiad'!I7+'3-10 önálló int.be-ki.'!EG7</f>
        <v>0</v>
      </c>
      <c r="J7" s="284">
        <f>+'2. önkorm.bevkiad'!J7+'3-10 önálló int.be-ki.'!EH7</f>
        <v>0</v>
      </c>
      <c r="K7" s="284">
        <f>+'2. önkorm.bevkiad'!K7+'3-10 önálló int.be-ki.'!EI7</f>
        <v>0</v>
      </c>
      <c r="L7" s="284">
        <f>+'2. önkorm.bevkiad'!L7+'3-10 önálló int.be-ki.'!EJ7</f>
        <v>0</v>
      </c>
      <c r="M7" s="285">
        <f>+'2. önkorm.bevkiad'!M7+'3-10 önálló int.be-ki.'!EK7</f>
        <v>120471452</v>
      </c>
      <c r="N7" s="285">
        <f>+'2. önkorm.bevkiad'!N7+'3-10 önálló int.be-ki.'!EL7</f>
        <v>79778428</v>
      </c>
      <c r="O7" s="285">
        <f>+'2. önkorm.bevkiad'!O7+'3-10 önálló int.be-ki.'!EM7</f>
        <v>81872855</v>
      </c>
      <c r="P7" s="285">
        <f>+'2. önkorm.bevkiad'!P7+'3-10 önálló int.be-ki.'!EN7</f>
        <v>102484969</v>
      </c>
      <c r="Q7" s="814">
        <v>100639</v>
      </c>
      <c r="R7" s="257">
        <v>65136</v>
      </c>
    </row>
    <row r="8" spans="1:18" ht="12.75" customHeight="1" x14ac:dyDescent="0.25">
      <c r="A8" s="282" t="s">
        <v>82</v>
      </c>
      <c r="B8" s="283" t="s">
        <v>379</v>
      </c>
      <c r="C8" s="144">
        <f>+'2. önkorm.bevkiad'!C8+'3-10 önálló int.be-ki.'!EA8</f>
        <v>50471452</v>
      </c>
      <c r="D8" s="144">
        <f>+'2. önkorm.bevkiad'!D8+'3-10 önálló int.be-ki.'!EB8</f>
        <v>50471452</v>
      </c>
      <c r="E8" s="144">
        <f>+'2. önkorm.bevkiad'!E8+'3-10 önálló int.be-ki.'!EC8</f>
        <v>50471452</v>
      </c>
      <c r="F8" s="144">
        <f>+'2. önkorm.bevkiad'!F8+'3-10 önálló int.be-ki.'!ED8</f>
        <v>0</v>
      </c>
      <c r="G8" s="284">
        <f>+'2. önkorm.bevkiad'!G8+'3-10 önálló int.be-ki.'!EE8</f>
        <v>0</v>
      </c>
      <c r="H8" s="284">
        <f>+'2. önkorm.bevkiad'!H8+'3-10 önálló int.be-ki.'!EF8</f>
        <v>0</v>
      </c>
      <c r="I8" s="284">
        <f>+'2. önkorm.bevkiad'!I8+'3-10 önálló int.be-ki.'!EG8</f>
        <v>0</v>
      </c>
      <c r="J8" s="284">
        <f>+'2. önkorm.bevkiad'!J8+'3-10 önálló int.be-ki.'!EH8</f>
        <v>0</v>
      </c>
      <c r="K8" s="284">
        <f>+'2. önkorm.bevkiad'!K8+'3-10 önálló int.be-ki.'!EI8</f>
        <v>0</v>
      </c>
      <c r="L8" s="284">
        <f>+'2. önkorm.bevkiad'!L8+'3-10 önálló int.be-ki.'!EJ8</f>
        <v>0</v>
      </c>
      <c r="M8" s="285">
        <f>+'2. önkorm.bevkiad'!M8+'3-10 önálló int.be-ki.'!EK8</f>
        <v>50471452</v>
      </c>
      <c r="N8" s="285">
        <f>+'2. önkorm.bevkiad'!N8+'3-10 önálló int.be-ki.'!EL8</f>
        <v>50471452</v>
      </c>
      <c r="O8" s="285">
        <f>+'2. önkorm.bevkiad'!O8+'3-10 önálló int.be-ki.'!EM8</f>
        <v>50471452</v>
      </c>
      <c r="P8" s="285">
        <f>+'2. önkorm.bevkiad'!P8+'3-10 önálló int.be-ki.'!EN8</f>
        <v>0</v>
      </c>
      <c r="Q8" s="814">
        <v>43717</v>
      </c>
      <c r="R8" s="257">
        <v>39618</v>
      </c>
    </row>
    <row r="9" spans="1:18" ht="12" customHeight="1" x14ac:dyDescent="0.25">
      <c r="A9" s="282" t="s">
        <v>83</v>
      </c>
      <c r="B9" s="283" t="s">
        <v>314</v>
      </c>
      <c r="C9" s="144">
        <f>+'2. önkorm.bevkiad'!C9+'3-10 önálló int.be-ki.'!EA9</f>
        <v>0</v>
      </c>
      <c r="D9" s="144">
        <f>+'2. önkorm.bevkiad'!D9+'3-10 önálló int.be-ki.'!EB9</f>
        <v>0</v>
      </c>
      <c r="E9" s="144">
        <f>+'2. önkorm.bevkiad'!E9+'3-10 önálló int.be-ki.'!EC9</f>
        <v>0</v>
      </c>
      <c r="F9" s="144">
        <f>+'2. önkorm.bevkiad'!F9+'3-10 önálló int.be-ki.'!ED9</f>
        <v>20611817</v>
      </c>
      <c r="G9" s="284">
        <f>+'2. önkorm.bevkiad'!G9+'3-10 önálló int.be-ki.'!EE9</f>
        <v>0</v>
      </c>
      <c r="H9" s="284">
        <f>+'2. önkorm.bevkiad'!H9+'3-10 önálló int.be-ki.'!EF9</f>
        <v>0</v>
      </c>
      <c r="I9" s="284">
        <f>+'2. önkorm.bevkiad'!I9+'3-10 önálló int.be-ki.'!EG9</f>
        <v>0</v>
      </c>
      <c r="J9" s="284">
        <f>+'2. önkorm.bevkiad'!J9+'3-10 önálló int.be-ki.'!EH9</f>
        <v>0</v>
      </c>
      <c r="K9" s="284">
        <f>+'2. önkorm.bevkiad'!K9+'3-10 önálló int.be-ki.'!EI9</f>
        <v>0</v>
      </c>
      <c r="L9" s="284">
        <f>+'2. önkorm.bevkiad'!L9+'3-10 önálló int.be-ki.'!EJ9</f>
        <v>0</v>
      </c>
      <c r="M9" s="285">
        <f>+'2. önkorm.bevkiad'!M9+'3-10 önálló int.be-ki.'!EK9</f>
        <v>0</v>
      </c>
      <c r="N9" s="285">
        <f>+'2. önkorm.bevkiad'!N9+'3-10 önálló int.be-ki.'!EL9</f>
        <v>0</v>
      </c>
      <c r="O9" s="285">
        <f>+'2. önkorm.bevkiad'!O9+'3-10 önálló int.be-ki.'!EM9</f>
        <v>0</v>
      </c>
      <c r="P9" s="285">
        <f>+'2. önkorm.bevkiad'!P9+'3-10 önálló int.be-ki.'!EN9</f>
        <v>20611817</v>
      </c>
      <c r="Q9" s="814">
        <v>35441</v>
      </c>
      <c r="R9" s="257">
        <v>21518</v>
      </c>
    </row>
    <row r="10" spans="1:18" ht="12" customHeight="1" x14ac:dyDescent="0.25">
      <c r="A10" s="282" t="s">
        <v>84</v>
      </c>
      <c r="B10" s="283" t="s">
        <v>328</v>
      </c>
      <c r="C10" s="144">
        <f>+'2. önkorm.bevkiad'!C10+'3-10 önálló int.be-ki.'!EA10</f>
        <v>70000000</v>
      </c>
      <c r="D10" s="144">
        <f>+'2. önkorm.bevkiad'!D10+'3-10 önálló int.be-ki.'!EB10</f>
        <v>29306976</v>
      </c>
      <c r="E10" s="144">
        <f>+'2. önkorm.bevkiad'!E10+'3-10 önálló int.be-ki.'!EC10</f>
        <v>29306976</v>
      </c>
      <c r="F10" s="144">
        <f>+'2. önkorm.bevkiad'!F10+'3-10 önálló int.be-ki.'!ED10</f>
        <v>0</v>
      </c>
      <c r="G10" s="284">
        <f>+'2. önkorm.bevkiad'!G10+'3-10 önálló int.be-ki.'!EE10</f>
        <v>0</v>
      </c>
      <c r="H10" s="284">
        <f>+'2. önkorm.bevkiad'!H10+'3-10 önálló int.be-ki.'!EF10</f>
        <v>0</v>
      </c>
      <c r="I10" s="284">
        <f>+'2. önkorm.bevkiad'!I10+'3-10 önálló int.be-ki.'!EG10</f>
        <v>0</v>
      </c>
      <c r="J10" s="284">
        <f>+'2. önkorm.bevkiad'!J10+'3-10 önálló int.be-ki.'!EH10</f>
        <v>0</v>
      </c>
      <c r="K10" s="284">
        <f>+'2. önkorm.bevkiad'!K10+'3-10 önálló int.be-ki.'!EI10</f>
        <v>0</v>
      </c>
      <c r="L10" s="284">
        <f>+'2. önkorm.bevkiad'!L10+'3-10 önálló int.be-ki.'!EJ10</f>
        <v>0</v>
      </c>
      <c r="M10" s="285">
        <f>+'2. önkorm.bevkiad'!M10+'3-10 önálló int.be-ki.'!EK10</f>
        <v>70000000</v>
      </c>
      <c r="N10" s="285">
        <f>+'2. önkorm.bevkiad'!N10+'3-10 önálló int.be-ki.'!EL10</f>
        <v>29306976</v>
      </c>
      <c r="O10" s="285">
        <f>+'2. önkorm.bevkiad'!O10+'3-10 önálló int.be-ki.'!EM10</f>
        <v>29306976</v>
      </c>
      <c r="P10" s="285">
        <f>+'2. önkorm.bevkiad'!P10+'3-10 önálló int.be-ki.'!EN10</f>
        <v>0</v>
      </c>
      <c r="Q10" s="814">
        <v>21481</v>
      </c>
      <c r="R10" s="312">
        <v>4000</v>
      </c>
    </row>
    <row r="11" spans="1:18" s="180" customFormat="1" ht="12" customHeight="1" x14ac:dyDescent="0.25">
      <c r="A11" s="286" t="s">
        <v>14</v>
      </c>
      <c r="B11" s="287" t="s">
        <v>86</v>
      </c>
      <c r="C11" s="285">
        <f>+'2. önkorm.bevkiad'!C11+'3-10 önálló int.be-ki.'!EA11</f>
        <v>711000000</v>
      </c>
      <c r="D11" s="285">
        <f>+'2. önkorm.bevkiad'!D11+'3-10 önálló int.be-ki.'!EB11</f>
        <v>478500000</v>
      </c>
      <c r="E11" s="285">
        <f>+'2. önkorm.bevkiad'!E11+'3-10 önálló int.be-ki.'!EC11</f>
        <v>478500000</v>
      </c>
      <c r="F11" s="285">
        <f>+'2. önkorm.bevkiad'!F11+'3-10 önálló int.be-ki.'!ED11</f>
        <v>678890000</v>
      </c>
      <c r="G11" s="285">
        <f>+'2. önkorm.bevkiad'!G11+'3-10 önálló int.be-ki.'!EE11</f>
        <v>0</v>
      </c>
      <c r="H11" s="285">
        <f>+'2. önkorm.bevkiad'!H11+'3-10 önálló int.be-ki.'!EF11</f>
        <v>0</v>
      </c>
      <c r="I11" s="285">
        <f>+'2. önkorm.bevkiad'!I11+'3-10 önálló int.be-ki.'!EG11</f>
        <v>0</v>
      </c>
      <c r="J11" s="285">
        <f>+'2. önkorm.bevkiad'!J11+'3-10 önálló int.be-ki.'!EH11</f>
        <v>0</v>
      </c>
      <c r="K11" s="285">
        <f>+'2. önkorm.bevkiad'!K11+'3-10 önálló int.be-ki.'!EI11</f>
        <v>0</v>
      </c>
      <c r="L11" s="285">
        <f>+'2. önkorm.bevkiad'!L11+'3-10 önálló int.be-ki.'!EJ11</f>
        <v>0</v>
      </c>
      <c r="M11" s="285">
        <f>+'2. önkorm.bevkiad'!M11+'3-10 önálló int.be-ki.'!EK11</f>
        <v>711000000</v>
      </c>
      <c r="N11" s="285">
        <f>+'2. önkorm.bevkiad'!N11+'3-10 önálló int.be-ki.'!EL11</f>
        <v>478500000</v>
      </c>
      <c r="O11" s="285">
        <f>+'2. önkorm.bevkiad'!O11+'3-10 önálló int.be-ki.'!EM11</f>
        <v>478500000</v>
      </c>
      <c r="P11" s="285">
        <f>+'2. önkorm.bevkiad'!P11+'3-10 önálló int.be-ki.'!EN11</f>
        <v>678890000</v>
      </c>
      <c r="Q11" s="814">
        <v>171772</v>
      </c>
      <c r="R11" s="257">
        <v>388334</v>
      </c>
    </row>
    <row r="12" spans="1:18" s="180" customFormat="1" ht="12.75" customHeight="1" x14ac:dyDescent="0.25">
      <c r="A12" s="286" t="s">
        <v>15</v>
      </c>
      <c r="B12" s="287" t="s">
        <v>87</v>
      </c>
      <c r="C12" s="285">
        <f>+'2. önkorm.bevkiad'!C12+'3-10 önálló int.be-ki.'!EA12</f>
        <v>1000144000</v>
      </c>
      <c r="D12" s="285">
        <f>+'2. önkorm.bevkiad'!D12+'3-10 önálló int.be-ki.'!EB12</f>
        <v>959144000</v>
      </c>
      <c r="E12" s="285">
        <f>+'2. önkorm.bevkiad'!E12+'3-10 önálló int.be-ki.'!EC12</f>
        <v>963144000</v>
      </c>
      <c r="F12" s="285">
        <f>+'2. önkorm.bevkiad'!F12+'3-10 önálló int.be-ki.'!ED12</f>
        <v>983438292</v>
      </c>
      <c r="G12" s="285">
        <f>+'2. önkorm.bevkiad'!G12+'3-10 önálló int.be-ki.'!EE12</f>
        <v>99856000</v>
      </c>
      <c r="H12" s="285">
        <f>+'2. önkorm.bevkiad'!H12+'3-10 önálló int.be-ki.'!EF12</f>
        <v>95856000</v>
      </c>
      <c r="I12" s="285">
        <f>+'2. önkorm.bevkiad'!I12+'3-10 önálló int.be-ki.'!EG12</f>
        <v>94703125</v>
      </c>
      <c r="J12" s="285">
        <f>+'2. önkorm.bevkiad'!J12+'3-10 önálló int.be-ki.'!EH12</f>
        <v>88561708</v>
      </c>
      <c r="K12" s="285">
        <f>+'2. önkorm.bevkiad'!K12+'3-10 önálló int.be-ki.'!EI12</f>
        <v>0</v>
      </c>
      <c r="L12" s="285">
        <f>+'2. önkorm.bevkiad'!L12+'3-10 önálló int.be-ki.'!EJ12</f>
        <v>0</v>
      </c>
      <c r="M12" s="285">
        <f>+'2. önkorm.bevkiad'!M12+'3-10 önálló int.be-ki.'!EK12</f>
        <v>1100000000</v>
      </c>
      <c r="N12" s="285">
        <f>+'2. önkorm.bevkiad'!N12+'3-10 önálló int.be-ki.'!EL12</f>
        <v>1055000000</v>
      </c>
      <c r="O12" s="285">
        <f>+'2. önkorm.bevkiad'!O12+'3-10 önálló int.be-ki.'!EM12</f>
        <v>1057847125</v>
      </c>
      <c r="P12" s="285">
        <f>+'2. önkorm.bevkiad'!P12+'3-10 önálló int.be-ki.'!EN12</f>
        <v>1072000000</v>
      </c>
      <c r="Q12" s="814">
        <v>1144995</v>
      </c>
      <c r="R12" s="257">
        <v>979539</v>
      </c>
    </row>
    <row r="13" spans="1:18" ht="12.75" customHeight="1" x14ac:dyDescent="0.25">
      <c r="A13" s="282"/>
      <c r="B13" s="283" t="s">
        <v>38</v>
      </c>
      <c r="C13" s="144">
        <f>+'2. önkorm.bevkiad'!C13+'3-10 önálló int.be-ki.'!EA13</f>
        <v>300000000</v>
      </c>
      <c r="D13" s="144">
        <f>+'2. önkorm.bevkiad'!D13+'3-10 önálló int.be-ki.'!EB13</f>
        <v>300000000</v>
      </c>
      <c r="E13" s="144">
        <f>+'2. önkorm.bevkiad'!E13+'3-10 önálló int.be-ki.'!EC13</f>
        <v>300000000</v>
      </c>
      <c r="F13" s="144">
        <f>+'2. önkorm.bevkiad'!F13+'3-10 önálló int.be-ki.'!ED13</f>
        <v>300000000</v>
      </c>
      <c r="G13" s="144">
        <f>+'2. önkorm.bevkiad'!G13+'3-10 önálló int.be-ki.'!EE13</f>
        <v>0</v>
      </c>
      <c r="H13" s="144">
        <f>+'2. önkorm.bevkiad'!H13+'3-10 önálló int.be-ki.'!EF13</f>
        <v>0</v>
      </c>
      <c r="I13" s="144">
        <f>+'2. önkorm.bevkiad'!I13+'3-10 önálló int.be-ki.'!EG13</f>
        <v>0</v>
      </c>
      <c r="J13" s="144">
        <f>+'2. önkorm.bevkiad'!J13+'3-10 önálló int.be-ki.'!EH13</f>
        <v>0</v>
      </c>
      <c r="K13" s="284">
        <f>+'2. önkorm.bevkiad'!K13+'3-10 önálló int.be-ki.'!EI13</f>
        <v>0</v>
      </c>
      <c r="L13" s="284">
        <f>+'2. önkorm.bevkiad'!L13+'3-10 önálló int.be-ki.'!EJ13</f>
        <v>0</v>
      </c>
      <c r="M13" s="285">
        <f>+'2. önkorm.bevkiad'!M13+'3-10 önálló int.be-ki.'!EK13</f>
        <v>300000000</v>
      </c>
      <c r="N13" s="285">
        <f>+'2. önkorm.bevkiad'!N13+'3-10 önálló int.be-ki.'!EL13</f>
        <v>300000000</v>
      </c>
      <c r="O13" s="285">
        <f>+'2. önkorm.bevkiad'!O13+'3-10 önálló int.be-ki.'!EM13</f>
        <v>300000000</v>
      </c>
      <c r="P13" s="285">
        <f>+'2. önkorm.bevkiad'!P13+'3-10 önálló int.be-ki.'!EN13</f>
        <v>300000000</v>
      </c>
      <c r="Q13" s="814">
        <v>323446</v>
      </c>
      <c r="R13" s="257">
        <v>285994</v>
      </c>
    </row>
    <row r="14" spans="1:18" ht="12.75" customHeight="1" x14ac:dyDescent="0.25">
      <c r="A14" s="282"/>
      <c r="B14" s="283" t="s">
        <v>39</v>
      </c>
      <c r="C14" s="144">
        <f>+'2. önkorm.bevkiad'!C14+'3-10 önálló int.be-ki.'!EA14</f>
        <v>85000000</v>
      </c>
      <c r="D14" s="370">
        <f>+'2. önkorm.bevkiad'!D14+'3-10 önálló int.be-ki.'!EB14</f>
        <v>85000000</v>
      </c>
      <c r="E14" s="370">
        <f>+'2. önkorm.bevkiad'!E14+'3-10 önálló int.be-ki.'!EC14</f>
        <v>85000000</v>
      </c>
      <c r="F14" s="370">
        <f>+'2. önkorm.bevkiad'!F14+'3-10 önálló int.be-ki.'!ED14</f>
        <v>85000000</v>
      </c>
      <c r="G14" s="144">
        <f>+'2. önkorm.bevkiad'!G14+'3-10 önálló int.be-ki.'!EE14</f>
        <v>0</v>
      </c>
      <c r="H14" s="144">
        <f>+'2. önkorm.bevkiad'!H14+'3-10 önálló int.be-ki.'!EF14</f>
        <v>0</v>
      </c>
      <c r="I14" s="144">
        <f>+'2. önkorm.bevkiad'!I14+'3-10 önálló int.be-ki.'!EG14</f>
        <v>0</v>
      </c>
      <c r="J14" s="144">
        <f>+'2. önkorm.bevkiad'!J14+'3-10 önálló int.be-ki.'!EH14</f>
        <v>0</v>
      </c>
      <c r="K14" s="284">
        <f>+'2. önkorm.bevkiad'!K14+'3-10 önálló int.be-ki.'!EI14</f>
        <v>0</v>
      </c>
      <c r="L14" s="284">
        <f>+'2. önkorm.bevkiad'!L14+'3-10 önálló int.be-ki.'!EJ14</f>
        <v>0</v>
      </c>
      <c r="M14" s="285">
        <f>+'2. önkorm.bevkiad'!M14+'3-10 önálló int.be-ki.'!EK14</f>
        <v>85000000</v>
      </c>
      <c r="N14" s="285">
        <f>+'2. önkorm.bevkiad'!N14+'3-10 önálló int.be-ki.'!EL14</f>
        <v>85000000</v>
      </c>
      <c r="O14" s="285">
        <f>+'2. önkorm.bevkiad'!O14+'3-10 önálló int.be-ki.'!EM14</f>
        <v>85000000</v>
      </c>
      <c r="P14" s="285">
        <f>+'2. önkorm.bevkiad'!P14+'3-10 önálló int.be-ki.'!EN14</f>
        <v>85000000</v>
      </c>
      <c r="Q14" s="814">
        <v>92076</v>
      </c>
      <c r="R14" s="257">
        <v>75624</v>
      </c>
    </row>
    <row r="15" spans="1:18" ht="12.75" customHeight="1" x14ac:dyDescent="0.25">
      <c r="A15" s="282"/>
      <c r="B15" s="283" t="s">
        <v>40</v>
      </c>
      <c r="C15" s="144">
        <f>+'2. önkorm.bevkiad'!C15+'3-10 önálló int.be-ki.'!EA15</f>
        <v>562644000</v>
      </c>
      <c r="D15" s="144">
        <f>+'2. önkorm.bevkiad'!D15+'3-10 önálló int.be-ki.'!EB15</f>
        <v>566644000</v>
      </c>
      <c r="E15" s="144">
        <f>+'2. önkorm.bevkiad'!E15+'3-10 önálló int.be-ki.'!EC15</f>
        <v>570644000</v>
      </c>
      <c r="F15" s="144">
        <f>+'2. önkorm.bevkiad'!F15+'3-10 önálló int.be-ki.'!ED15</f>
        <v>573938292</v>
      </c>
      <c r="G15" s="144">
        <f>+'2. önkorm.bevkiad'!G15+'3-10 önálló int.be-ki.'!EE15</f>
        <v>99856000</v>
      </c>
      <c r="H15" s="144">
        <f>+'2. önkorm.bevkiad'!H15+'3-10 önálló int.be-ki.'!EF15</f>
        <v>95856000</v>
      </c>
      <c r="I15" s="144">
        <f>+'2. önkorm.bevkiad'!I15+'3-10 önálló int.be-ki.'!EG15</f>
        <v>91856000</v>
      </c>
      <c r="J15" s="144">
        <f>+'2. önkorm.bevkiad'!J15+'3-10 önálló int.be-ki.'!EH15</f>
        <v>88561708</v>
      </c>
      <c r="K15" s="284">
        <f>+'2. önkorm.bevkiad'!K15+'3-10 önálló int.be-ki.'!EI15</f>
        <v>0</v>
      </c>
      <c r="L15" s="284">
        <f>+'2. önkorm.bevkiad'!L15+'3-10 önálló int.be-ki.'!EJ15</f>
        <v>0</v>
      </c>
      <c r="M15" s="285">
        <f>+'2. önkorm.bevkiad'!M15+'3-10 önálló int.be-ki.'!EK15</f>
        <v>662500000</v>
      </c>
      <c r="N15" s="285">
        <f>+'2. önkorm.bevkiad'!N15+'3-10 önálló int.be-ki.'!EL15</f>
        <v>662500000</v>
      </c>
      <c r="O15" s="285">
        <f>+'2. önkorm.bevkiad'!O15+'3-10 önálló int.be-ki.'!EM15</f>
        <v>662500000</v>
      </c>
      <c r="P15" s="285">
        <f>+'2. önkorm.bevkiad'!P15+'3-10 önálló int.be-ki.'!EN15</f>
        <v>662500000</v>
      </c>
      <c r="Q15" s="814">
        <v>672975</v>
      </c>
      <c r="R15" s="257">
        <v>569597</v>
      </c>
    </row>
    <row r="16" spans="1:18" ht="12.75" customHeight="1" x14ac:dyDescent="0.25">
      <c r="A16" s="282"/>
      <c r="B16" s="283" t="s">
        <v>70</v>
      </c>
      <c r="C16" s="144">
        <f>+'2. önkorm.bevkiad'!C16+'3-10 önálló int.be-ki.'!EA16</f>
        <v>45000000</v>
      </c>
      <c r="D16" s="144">
        <f>+'2. önkorm.bevkiad'!D16+'3-10 önálló int.be-ki.'!EB16</f>
        <v>0</v>
      </c>
      <c r="E16" s="144">
        <f>+'2. önkorm.bevkiad'!E16+'3-10 önálló int.be-ki.'!EC16</f>
        <v>0</v>
      </c>
      <c r="F16" s="144">
        <f>+'2. önkorm.bevkiad'!F16+'3-10 önálló int.be-ki.'!ED16</f>
        <v>0</v>
      </c>
      <c r="G16" s="144">
        <f>+'2. önkorm.bevkiad'!G16+'3-10 önálló int.be-ki.'!EE16</f>
        <v>0</v>
      </c>
      <c r="H16" s="144">
        <f>+'2. önkorm.bevkiad'!H16+'3-10 önálló int.be-ki.'!EF16</f>
        <v>0</v>
      </c>
      <c r="I16" s="144">
        <f>+'2. önkorm.bevkiad'!I16+'3-10 önálló int.be-ki.'!EG16</f>
        <v>0</v>
      </c>
      <c r="J16" s="144">
        <f>+'2. önkorm.bevkiad'!J16+'3-10 önálló int.be-ki.'!EH16</f>
        <v>0</v>
      </c>
      <c r="K16" s="284">
        <f>+'2. önkorm.bevkiad'!K16+'3-10 önálló int.be-ki.'!EI16</f>
        <v>0</v>
      </c>
      <c r="L16" s="284">
        <f>+'2. önkorm.bevkiad'!L16+'3-10 önálló int.be-ki.'!EJ16</f>
        <v>0</v>
      </c>
      <c r="M16" s="285">
        <f>+'2. önkorm.bevkiad'!M16+'3-10 önálló int.be-ki.'!EK16</f>
        <v>45000000</v>
      </c>
      <c r="N16" s="285">
        <f>+'2. önkorm.bevkiad'!N16+'3-10 önálló int.be-ki.'!EL16</f>
        <v>0</v>
      </c>
      <c r="O16" s="285">
        <f>+'2. önkorm.bevkiad'!O16+'3-10 önálló int.be-ki.'!EM16</f>
        <v>0</v>
      </c>
      <c r="P16" s="285">
        <f>+'2. önkorm.bevkiad'!P16+'3-10 önálló int.be-ki.'!EN16</f>
        <v>0</v>
      </c>
      <c r="Q16" s="814">
        <v>2511</v>
      </c>
      <c r="R16" s="257">
        <v>1837</v>
      </c>
    </row>
    <row r="17" spans="1:18" ht="12.75" customHeight="1" x14ac:dyDescent="0.25">
      <c r="A17" s="282"/>
      <c r="B17" s="283" t="s">
        <v>41</v>
      </c>
      <c r="C17" s="144">
        <f>+'2. önkorm.bevkiad'!C17+'3-10 önálló int.be-ki.'!EA17</f>
        <v>2000000</v>
      </c>
      <c r="D17" s="144">
        <f>+'2. önkorm.bevkiad'!D17+'3-10 önálló int.be-ki.'!EB17</f>
        <v>2000000</v>
      </c>
      <c r="E17" s="144">
        <f>+'2. önkorm.bevkiad'!E17+'3-10 önálló int.be-ki.'!EC17</f>
        <v>5000000</v>
      </c>
      <c r="F17" s="144">
        <f>+'2. önkorm.bevkiad'!F17+'3-10 önálló int.be-ki.'!ED17</f>
        <v>2000000</v>
      </c>
      <c r="G17" s="144">
        <f>+'2. önkorm.bevkiad'!G17+'3-10 önálló int.be-ki.'!EE17</f>
        <v>0</v>
      </c>
      <c r="H17" s="144">
        <f>+'2. önkorm.bevkiad'!H17+'3-10 önálló int.be-ki.'!EF17</f>
        <v>0</v>
      </c>
      <c r="I17" s="144">
        <f>+'2. önkorm.bevkiad'!I17+'3-10 önálló int.be-ki.'!EG17</f>
        <v>0</v>
      </c>
      <c r="J17" s="144">
        <f>+'2. önkorm.bevkiad'!J17+'3-10 önálló int.be-ki.'!EH17</f>
        <v>0</v>
      </c>
      <c r="K17" s="284">
        <f>+'2. önkorm.bevkiad'!K17+'3-10 önálló int.be-ki.'!EI17</f>
        <v>0</v>
      </c>
      <c r="L17" s="284">
        <f>+'2. önkorm.bevkiad'!L17+'3-10 önálló int.be-ki.'!EJ17</f>
        <v>0</v>
      </c>
      <c r="M17" s="285">
        <f>+'2. önkorm.bevkiad'!M17+'3-10 önálló int.be-ki.'!EK17</f>
        <v>2000000</v>
      </c>
      <c r="N17" s="285">
        <f>+'2. önkorm.bevkiad'!N17+'3-10 önálló int.be-ki.'!EL17</f>
        <v>2000000</v>
      </c>
      <c r="O17" s="285">
        <f>+'2. önkorm.bevkiad'!O17+'3-10 önálló int.be-ki.'!EM17</f>
        <v>5000000</v>
      </c>
      <c r="P17" s="285">
        <f>+'2. önkorm.bevkiad'!P17+'3-10 önálló int.be-ki.'!EN17</f>
        <v>2000000</v>
      </c>
      <c r="Q17" s="814">
        <v>49232</v>
      </c>
      <c r="R17" s="257">
        <v>44863</v>
      </c>
    </row>
    <row r="18" spans="1:18" ht="12.75" customHeight="1" x14ac:dyDescent="0.25">
      <c r="A18" s="282"/>
      <c r="B18" s="283" t="s">
        <v>275</v>
      </c>
      <c r="C18" s="144">
        <f>+'2. önkorm.bevkiad'!C18+'3-10 önálló int.be-ki.'!EA18</f>
        <v>5500000</v>
      </c>
      <c r="D18" s="144">
        <f>+'2. önkorm.bevkiad'!D18+'3-10 önálló int.be-ki.'!EB18</f>
        <v>5500000</v>
      </c>
      <c r="E18" s="144">
        <f>+'2. önkorm.bevkiad'!E18+'3-10 önálló int.be-ki.'!EC18</f>
        <v>2500000</v>
      </c>
      <c r="F18" s="144">
        <f>+'2. önkorm.bevkiad'!F18+'3-10 önálló int.be-ki.'!ED18</f>
        <v>22500000</v>
      </c>
      <c r="G18" s="144">
        <f>+'2. önkorm.bevkiad'!G18+'3-10 önálló int.be-ki.'!EE18</f>
        <v>0</v>
      </c>
      <c r="H18" s="144">
        <f>+'2. önkorm.bevkiad'!H18+'3-10 önálló int.be-ki.'!EF18</f>
        <v>0</v>
      </c>
      <c r="I18" s="144">
        <f>+'2. önkorm.bevkiad'!I18+'3-10 önálló int.be-ki.'!EG18</f>
        <v>0</v>
      </c>
      <c r="J18" s="144">
        <f>+'2. önkorm.bevkiad'!J18+'3-10 önálló int.be-ki.'!EH18</f>
        <v>0</v>
      </c>
      <c r="K18" s="284">
        <f>+'2. önkorm.bevkiad'!K18+'3-10 önálló int.be-ki.'!EI18</f>
        <v>0</v>
      </c>
      <c r="L18" s="284">
        <f>+'2. önkorm.bevkiad'!L18+'3-10 önálló int.be-ki.'!EJ18</f>
        <v>0</v>
      </c>
      <c r="M18" s="285">
        <f>+'2. önkorm.bevkiad'!M18+'3-10 önálló int.be-ki.'!EK18</f>
        <v>5500000</v>
      </c>
      <c r="N18" s="285">
        <f>+'2. önkorm.bevkiad'!N18+'3-10 önálló int.be-ki.'!EL18</f>
        <v>5500000</v>
      </c>
      <c r="O18" s="285">
        <f>+'2. önkorm.bevkiad'!O18+'3-10 önálló int.be-ki.'!EM18</f>
        <v>2500000</v>
      </c>
      <c r="P18" s="285">
        <f>+'2. önkorm.bevkiad'!P18+'3-10 önálló int.be-ki.'!EN18</f>
        <v>22500000</v>
      </c>
      <c r="Q18" s="814">
        <v>4755</v>
      </c>
      <c r="R18" s="312">
        <v>1624</v>
      </c>
    </row>
    <row r="19" spans="1:18" s="180" customFormat="1" ht="12.75" customHeight="1" x14ac:dyDescent="0.25">
      <c r="A19" s="286" t="s">
        <v>16</v>
      </c>
      <c r="B19" s="287" t="s">
        <v>88</v>
      </c>
      <c r="C19" s="285">
        <f>+'2. önkorm.bevkiad'!C19+'3-10 önálló int.be-ki.'!EA19</f>
        <v>341996000</v>
      </c>
      <c r="D19" s="285">
        <f>+'2. önkorm.bevkiad'!D19+'3-10 önálló int.be-ki.'!EB19</f>
        <v>341996000</v>
      </c>
      <c r="E19" s="285">
        <f>+'2. önkorm.bevkiad'!E19+'3-10 önálló int.be-ki.'!EC19</f>
        <v>156073734</v>
      </c>
      <c r="F19" s="285">
        <f>+'2. önkorm.bevkiad'!F19+'3-10 önálló int.be-ki.'!ED19</f>
        <v>284094273</v>
      </c>
      <c r="G19" s="285">
        <f>+'2. önkorm.bevkiad'!G19+'3-10 önálló int.be-ki.'!EE19</f>
        <v>0</v>
      </c>
      <c r="H19" s="285">
        <f>+'2. önkorm.bevkiad'!H19+'3-10 önálló int.be-ki.'!EF19</f>
        <v>0</v>
      </c>
      <c r="I19" s="285">
        <f>+'2. önkorm.bevkiad'!I19+'3-10 önálló int.be-ki.'!EG19</f>
        <v>0</v>
      </c>
      <c r="J19" s="285">
        <f>+'2. önkorm.bevkiad'!J19+'3-10 önálló int.be-ki.'!EH19</f>
        <v>0</v>
      </c>
      <c r="K19" s="285">
        <f>+'2. önkorm.bevkiad'!K19+'3-10 önálló int.be-ki.'!EI19</f>
        <v>0</v>
      </c>
      <c r="L19" s="285">
        <f>+'2. önkorm.bevkiad'!L19+'3-10 önálló int.be-ki.'!EJ19</f>
        <v>0</v>
      </c>
      <c r="M19" s="285">
        <f>+'2. önkorm.bevkiad'!M19+'3-10 önálló int.be-ki.'!EK19</f>
        <v>341996000</v>
      </c>
      <c r="N19" s="285">
        <f>+'2. önkorm.bevkiad'!N19+'3-10 önálló int.be-ki.'!EL19</f>
        <v>341996000</v>
      </c>
      <c r="O19" s="285">
        <f>+'2. önkorm.bevkiad'!O19+'3-10 önálló int.be-ki.'!EM19</f>
        <v>164407734</v>
      </c>
      <c r="P19" s="285">
        <f>+'2. önkorm.bevkiad'!P19+'3-10 önálló int.be-ki.'!EN19</f>
        <v>284094273</v>
      </c>
      <c r="Q19" s="814">
        <v>246691</v>
      </c>
      <c r="R19" s="257">
        <v>174635</v>
      </c>
    </row>
    <row r="20" spans="1:18" s="180" customFormat="1" ht="12.75" customHeight="1" x14ac:dyDescent="0.25">
      <c r="A20" s="286" t="s">
        <v>17</v>
      </c>
      <c r="B20" s="287" t="s">
        <v>89</v>
      </c>
      <c r="C20" s="285">
        <f>+'2. önkorm.bevkiad'!C20+'3-10 önálló int.be-ki.'!EA20</f>
        <v>281000000</v>
      </c>
      <c r="D20" s="285">
        <f>+'2. önkorm.bevkiad'!D20+'3-10 önálló int.be-ki.'!EB20</f>
        <v>38521437</v>
      </c>
      <c r="E20" s="285">
        <f>+'2. önkorm.bevkiad'!E20+'3-10 önálló int.be-ki.'!EC20</f>
        <v>15000000</v>
      </c>
      <c r="F20" s="285">
        <f>+'2. önkorm.bevkiad'!F20+'3-10 önálló int.be-ki.'!ED20</f>
        <v>38600177</v>
      </c>
      <c r="G20" s="285">
        <f>+'2. önkorm.bevkiad'!G20+'3-10 önálló int.be-ki.'!EE20</f>
        <v>0</v>
      </c>
      <c r="H20" s="285">
        <f>+'2. önkorm.bevkiad'!H20+'3-10 önálló int.be-ki.'!EF20</f>
        <v>0</v>
      </c>
      <c r="I20" s="285">
        <f>+'2. önkorm.bevkiad'!I20+'3-10 önálló int.be-ki.'!EG20</f>
        <v>0</v>
      </c>
      <c r="J20" s="285">
        <f>+'2. önkorm.bevkiad'!J20+'3-10 önálló int.be-ki.'!EH20</f>
        <v>0</v>
      </c>
      <c r="K20" s="285">
        <f>+'2. önkorm.bevkiad'!K20+'3-10 önálló int.be-ki.'!EI20</f>
        <v>0</v>
      </c>
      <c r="L20" s="285">
        <f>+'2. önkorm.bevkiad'!L20+'3-10 önálló int.be-ki.'!EJ20</f>
        <v>0</v>
      </c>
      <c r="M20" s="285">
        <f>+'2. önkorm.bevkiad'!M20+'3-10 önálló int.be-ki.'!EK20</f>
        <v>281000000</v>
      </c>
      <c r="N20" s="285">
        <f>+'2. önkorm.bevkiad'!N20+'3-10 önálló int.be-ki.'!EL20</f>
        <v>38521437</v>
      </c>
      <c r="O20" s="285">
        <f>+'2. önkorm.bevkiad'!O20+'3-10 önálló int.be-ki.'!EM20</f>
        <v>15000000</v>
      </c>
      <c r="P20" s="285">
        <f>+'2. önkorm.bevkiad'!P20+'3-10 önálló int.be-ki.'!EN20</f>
        <v>38600177</v>
      </c>
      <c r="Q20" s="814">
        <v>69679</v>
      </c>
      <c r="R20" s="257">
        <v>24580</v>
      </c>
    </row>
    <row r="21" spans="1:18" s="180" customFormat="1" ht="12.75" customHeight="1" x14ac:dyDescent="0.25">
      <c r="A21" s="286" t="s">
        <v>18</v>
      </c>
      <c r="B21" s="287" t="s">
        <v>90</v>
      </c>
      <c r="C21" s="285">
        <f>+'2. önkorm.bevkiad'!C21+'3-10 önálló int.be-ki.'!EA21</f>
        <v>0</v>
      </c>
      <c r="D21" s="285">
        <f>+'2. önkorm.bevkiad'!D21+'3-10 önálló int.be-ki.'!EB21</f>
        <v>0</v>
      </c>
      <c r="E21" s="285">
        <f>+'2. önkorm.bevkiad'!E21+'3-10 önálló int.be-ki.'!EC21</f>
        <v>0</v>
      </c>
      <c r="F21" s="285">
        <f>+'2. önkorm.bevkiad'!F21+'3-10 önálló int.be-ki.'!ED21</f>
        <v>8271842</v>
      </c>
      <c r="G21" s="285">
        <f>+'2. önkorm.bevkiad'!G21+'3-10 önálló int.be-ki.'!EE21</f>
        <v>0</v>
      </c>
      <c r="H21" s="475">
        <f>+'2. önkorm.bevkiad'!H21+'3-10 önálló int.be-ki.'!EF21</f>
        <v>2237500</v>
      </c>
      <c r="I21" s="475">
        <f>+'2. önkorm.bevkiad'!I21+'3-10 önálló int.be-ki.'!EG21</f>
        <v>2237500</v>
      </c>
      <c r="J21" s="475">
        <f>+'2. önkorm.bevkiad'!J21+'3-10 önálló int.be-ki.'!EH21</f>
        <v>0</v>
      </c>
      <c r="K21" s="285">
        <f>+'2. önkorm.bevkiad'!K21+'3-10 önálló int.be-ki.'!EI21</f>
        <v>0</v>
      </c>
      <c r="L21" s="285">
        <f>+'2. önkorm.bevkiad'!L21+'3-10 önálló int.be-ki.'!EJ21</f>
        <v>0</v>
      </c>
      <c r="M21" s="285">
        <f>+'2. önkorm.bevkiad'!M21+'3-10 önálló int.be-ki.'!EK21</f>
        <v>0</v>
      </c>
      <c r="N21" s="285">
        <f>+'2. önkorm.bevkiad'!N21+'3-10 önálló int.be-ki.'!EL21</f>
        <v>2237500</v>
      </c>
      <c r="O21" s="285">
        <f>+'2. önkorm.bevkiad'!O21+'3-10 önálló int.be-ki.'!EM21</f>
        <v>2237500</v>
      </c>
      <c r="P21" s="285">
        <f>+'2. önkorm.bevkiad'!P21+'3-10 önálló int.be-ki.'!EN21</f>
        <v>8271842</v>
      </c>
      <c r="Q21" s="814">
        <v>38253</v>
      </c>
      <c r="R21" s="257">
        <v>4728</v>
      </c>
    </row>
    <row r="22" spans="1:18" s="180" customFormat="1" ht="12.75" customHeight="1" x14ac:dyDescent="0.25">
      <c r="A22" s="286" t="s">
        <v>19</v>
      </c>
      <c r="B22" s="287" t="s">
        <v>91</v>
      </c>
      <c r="C22" s="285">
        <f>+'2. önkorm.bevkiad'!C22+'3-10 önálló int.be-ki.'!EA22</f>
        <v>0</v>
      </c>
      <c r="D22" s="285">
        <f>+'2. önkorm.bevkiad'!D22+'3-10 önálló int.be-ki.'!EB22</f>
        <v>0</v>
      </c>
      <c r="E22" s="285">
        <f>+'2. önkorm.bevkiad'!E22+'3-10 önálló int.be-ki.'!EC22</f>
        <v>0</v>
      </c>
      <c r="F22" s="285">
        <f>+'2. önkorm.bevkiad'!F22+'3-10 önálló int.be-ki.'!ED22</f>
        <v>1152875</v>
      </c>
      <c r="G22" s="285">
        <f>+'2. önkorm.bevkiad'!G22+'3-10 önálló int.be-ki.'!EE22</f>
        <v>0</v>
      </c>
      <c r="H22" s="285">
        <f>+'2. önkorm.bevkiad'!H22+'3-10 önálló int.be-ki.'!EF22</f>
        <v>0</v>
      </c>
      <c r="I22" s="285">
        <f>+'2. önkorm.bevkiad'!I22+'3-10 önálló int.be-ki.'!EG22</f>
        <v>1152875</v>
      </c>
      <c r="J22" s="285">
        <f>+'2. önkorm.bevkiad'!J22+'3-10 önálló int.be-ki.'!EH22</f>
        <v>0</v>
      </c>
      <c r="K22" s="285">
        <f>+'2. önkorm.bevkiad'!K22+'3-10 önálló int.be-ki.'!EI22</f>
        <v>0</v>
      </c>
      <c r="L22" s="285">
        <f>+'2. önkorm.bevkiad'!L22+'3-10 önálló int.be-ki.'!EJ22</f>
        <v>0</v>
      </c>
      <c r="M22" s="285">
        <f>+'2. önkorm.bevkiad'!M22+'3-10 önálló int.be-ki.'!EK22</f>
        <v>0</v>
      </c>
      <c r="N22" s="285">
        <f>+'2. önkorm.bevkiad'!N22+'3-10 önálló int.be-ki.'!EL22</f>
        <v>0</v>
      </c>
      <c r="O22" s="285">
        <f>+'2. önkorm.bevkiad'!O22+'3-10 önálló int.be-ki.'!EM22</f>
        <v>1152875</v>
      </c>
      <c r="P22" s="285">
        <f>+'2. önkorm.bevkiad'!P22+'3-10 önálló int.be-ki.'!EN22</f>
        <v>1152875</v>
      </c>
      <c r="Q22" s="814">
        <v>836</v>
      </c>
      <c r="R22" s="257">
        <v>0</v>
      </c>
    </row>
    <row r="23" spans="1:18" s="180" customFormat="1" ht="12.75" customHeight="1" x14ac:dyDescent="0.25">
      <c r="A23" s="286" t="s">
        <v>20</v>
      </c>
      <c r="B23" s="287" t="s">
        <v>92</v>
      </c>
      <c r="C23" s="285">
        <f>+'2. önkorm.bevkiad'!C23+'3-10 önálló int.be-ki.'!EA23</f>
        <v>3270165000</v>
      </c>
      <c r="D23" s="285">
        <f>+'2. önkorm.bevkiad'!D23+'3-10 önálló int.be-ki.'!EB23</f>
        <v>2754186437</v>
      </c>
      <c r="E23" s="285">
        <f>+'2. önkorm.bevkiad'!E23+'3-10 önálló int.be-ki.'!EC23</f>
        <v>2553690061</v>
      </c>
      <c r="F23" s="285">
        <f>+'2. önkorm.bevkiad'!F23+'3-10 önálló int.be-ki.'!ED23</f>
        <v>3085719442</v>
      </c>
      <c r="G23" s="285">
        <f>+'2. önkorm.bevkiad'!G23+'3-10 önálló int.be-ki.'!EE23</f>
        <v>99856000</v>
      </c>
      <c r="H23" s="285">
        <f>+'2. önkorm.bevkiad'!H23+'3-10 önálló int.be-ki.'!EF23</f>
        <v>98093500</v>
      </c>
      <c r="I23" s="285">
        <f>+'2. önkorm.bevkiad'!I23+'3-10 önálló int.be-ki.'!EG23</f>
        <v>98093500</v>
      </c>
      <c r="J23" s="285">
        <f>+'2. önkorm.bevkiad'!J23+'3-10 önálló int.be-ki.'!EH23</f>
        <v>88561708</v>
      </c>
      <c r="K23" s="285">
        <f>+'2. önkorm.bevkiad'!K23+'3-10 önálló int.be-ki.'!EI23</f>
        <v>0</v>
      </c>
      <c r="L23" s="285">
        <f>+'2. önkorm.bevkiad'!L23+'3-10 önálló int.be-ki.'!EJ23</f>
        <v>0</v>
      </c>
      <c r="M23" s="285">
        <f>+'2. önkorm.bevkiad'!M23+'3-10 önálló int.be-ki.'!EK23</f>
        <v>3370021000</v>
      </c>
      <c r="N23" s="285">
        <f>+'2. önkorm.bevkiad'!N23+'3-10 önálló int.be-ki.'!EL23</f>
        <v>2852279937</v>
      </c>
      <c r="O23" s="285">
        <f>+'2. önkorm.bevkiad'!O23+'3-10 önálló int.be-ki.'!EM23</f>
        <v>2660117561</v>
      </c>
      <c r="P23" s="285">
        <f>+'2. önkorm.bevkiad'!P23+'3-10 önálló int.be-ki.'!EN23</f>
        <v>3174281150</v>
      </c>
      <c r="Q23" s="815">
        <f>+Q5+Q6+Q11+Q12+Q19+Q20+Q21+Q22</f>
        <v>2633110</v>
      </c>
      <c r="R23" s="166">
        <f>+R5+R6+R11+R12+R19+R20+R21+R22</f>
        <v>2408942</v>
      </c>
    </row>
    <row r="24" spans="1:18" ht="12.75" customHeight="1" x14ac:dyDescent="0.25">
      <c r="A24" s="282" t="s">
        <v>21</v>
      </c>
      <c r="B24" s="19" t="s">
        <v>426</v>
      </c>
      <c r="C24" s="284">
        <f>+'2. önkorm.bevkiad'!C24+'3-10 önálló int.be-ki.'!EA24</f>
        <v>350000000</v>
      </c>
      <c r="D24" s="284">
        <f>+'2. önkorm.bevkiad'!D24+'3-10 önálló int.be-ki.'!EB24</f>
        <v>350000000</v>
      </c>
      <c r="E24" s="284">
        <f>+'2. önkorm.bevkiad'!E24+'3-10 önálló int.be-ki.'!EC24</f>
        <v>350000000</v>
      </c>
      <c r="F24" s="284">
        <f>+'2. önkorm.bevkiad'!F24+'3-10 önálló int.be-ki.'!ED24</f>
        <v>350000000</v>
      </c>
      <c r="G24" s="284">
        <f>+'2. önkorm.bevkiad'!G24+'3-10 önálló int.be-ki.'!EE24</f>
        <v>0</v>
      </c>
      <c r="H24" s="284">
        <f>+'2. önkorm.bevkiad'!H24+'3-10 önálló int.be-ki.'!EF24</f>
        <v>0</v>
      </c>
      <c r="I24" s="284">
        <f>+'2. önkorm.bevkiad'!I24+'3-10 önálló int.be-ki.'!EG24</f>
        <v>0</v>
      </c>
      <c r="J24" s="284">
        <f>+'2. önkorm.bevkiad'!J24+'3-10 önálló int.be-ki.'!EH24</f>
        <v>0</v>
      </c>
      <c r="K24" s="284">
        <f>+'2. önkorm.bevkiad'!K24+'3-10 önálló int.be-ki.'!EI24</f>
        <v>0</v>
      </c>
      <c r="L24" s="284">
        <f>+'2. önkorm.bevkiad'!L24+'3-10 önálló int.be-ki.'!EJ24</f>
        <v>0</v>
      </c>
      <c r="M24" s="285">
        <f>+'2. önkorm.bevkiad'!M24+'3-10 önálló int.be-ki.'!EK24</f>
        <v>350000000</v>
      </c>
      <c r="N24" s="285">
        <f>+'2. önkorm.bevkiad'!N24+'3-10 önálló int.be-ki.'!EL24</f>
        <v>350000000</v>
      </c>
      <c r="O24" s="285">
        <f>+'2. önkorm.bevkiad'!O24+'3-10 önálló int.be-ki.'!EM24</f>
        <v>350000000</v>
      </c>
      <c r="P24" s="285">
        <f>+'2. önkorm.bevkiad'!P24+'3-10 önálló int.be-ki.'!EN24</f>
        <v>350000000</v>
      </c>
      <c r="Q24" s="814">
        <v>206547</v>
      </c>
      <c r="R24" s="257">
        <v>393453</v>
      </c>
    </row>
    <row r="25" spans="1:18" s="181" customFormat="1" ht="12.75" customHeight="1" x14ac:dyDescent="0.25">
      <c r="A25" s="282"/>
      <c r="B25" s="19" t="s">
        <v>427</v>
      </c>
      <c r="C25" s="284">
        <f>+'2. önkorm.bevkiad'!C25+'3-10 önálló int.be-ki.'!EA25</f>
        <v>0</v>
      </c>
      <c r="D25" s="289">
        <f>+'2. önkorm.bevkiad'!D25+'3-10 önálló int.be-ki.'!EB25</f>
        <v>300000000</v>
      </c>
      <c r="E25" s="289">
        <f>+'2. önkorm.bevkiad'!E25+'3-10 önálló int.be-ki.'!EC25</f>
        <v>300000000</v>
      </c>
      <c r="F25" s="289">
        <f>+'2. önkorm.bevkiad'!F25+'3-10 önálló int.be-ki.'!ED25</f>
        <v>300000000</v>
      </c>
      <c r="G25" s="284">
        <f>+'2. önkorm.bevkiad'!G25+'3-10 önálló int.be-ki.'!EE25</f>
        <v>0</v>
      </c>
      <c r="H25" s="284">
        <f>+'2. önkorm.bevkiad'!H25+'3-10 önálló int.be-ki.'!EF25</f>
        <v>0</v>
      </c>
      <c r="I25" s="284">
        <f>+'2. önkorm.bevkiad'!I25+'3-10 önálló int.be-ki.'!EG25</f>
        <v>0</v>
      </c>
      <c r="J25" s="284">
        <f>+'2. önkorm.bevkiad'!J25+'3-10 önálló int.be-ki.'!EH25</f>
        <v>0</v>
      </c>
      <c r="K25" s="284">
        <f>+'2. önkorm.bevkiad'!K25+'3-10 önálló int.be-ki.'!EI25</f>
        <v>0</v>
      </c>
      <c r="L25" s="284">
        <f>+'2. önkorm.bevkiad'!L25+'3-10 önálló int.be-ki.'!EJ25</f>
        <v>0</v>
      </c>
      <c r="M25" s="285">
        <f>+'2. önkorm.bevkiad'!M25+'3-10 önálló int.be-ki.'!EK25</f>
        <v>0</v>
      </c>
      <c r="N25" s="285">
        <f>+'2. önkorm.bevkiad'!N25+'3-10 önálló int.be-ki.'!EL25</f>
        <v>300000000</v>
      </c>
      <c r="O25" s="285">
        <f>+'2. önkorm.bevkiad'!O25+'3-10 önálló int.be-ki.'!EM25</f>
        <v>300000000</v>
      </c>
      <c r="P25" s="285">
        <f>+'2. önkorm.bevkiad'!P25+'3-10 önálló int.be-ki.'!EN25</f>
        <v>300000000</v>
      </c>
      <c r="Q25" s="814"/>
      <c r="R25" s="257"/>
    </row>
    <row r="26" spans="1:18" ht="12.75" customHeight="1" x14ac:dyDescent="0.25">
      <c r="A26" s="282" t="s">
        <v>22</v>
      </c>
      <c r="B26" s="283" t="s">
        <v>94</v>
      </c>
      <c r="C26" s="284">
        <f>+'2. önkorm.bevkiad'!C26+'3-10 önálló int.be-ki.'!EA26</f>
        <v>0</v>
      </c>
      <c r="D26" s="289">
        <f>+'2. önkorm.bevkiad'!D26+'3-10 önálló int.be-ki.'!EB26</f>
        <v>0</v>
      </c>
      <c r="E26" s="289">
        <f>+'2. önkorm.bevkiad'!E26+'3-10 önálló int.be-ki.'!EC26</f>
        <v>0</v>
      </c>
      <c r="F26" s="289">
        <f>+'2. önkorm.bevkiad'!F26+'3-10 önálló int.be-ki.'!ED26</f>
        <v>0</v>
      </c>
      <c r="G26" s="284">
        <f>+'2. önkorm.bevkiad'!G26+'3-10 önálló int.be-ki.'!EE26</f>
        <v>0</v>
      </c>
      <c r="H26" s="284">
        <f>+'2. önkorm.bevkiad'!H26+'3-10 önálló int.be-ki.'!EF26</f>
        <v>0</v>
      </c>
      <c r="I26" s="284">
        <f>+'2. önkorm.bevkiad'!I26+'3-10 önálló int.be-ki.'!EG26</f>
        <v>0</v>
      </c>
      <c r="J26" s="284">
        <f>+'2. önkorm.bevkiad'!J26+'3-10 önálló int.be-ki.'!EH26</f>
        <v>0</v>
      </c>
      <c r="K26" s="284">
        <f>+'2. önkorm.bevkiad'!K26+'3-10 önálló int.be-ki.'!EI26</f>
        <v>0</v>
      </c>
      <c r="L26" s="284">
        <f>+'2. önkorm.bevkiad'!L26+'3-10 önálló int.be-ki.'!EJ26</f>
        <v>0</v>
      </c>
      <c r="M26" s="285">
        <f>+'2. önkorm.bevkiad'!M26+'3-10 önálló int.be-ki.'!EK26</f>
        <v>0</v>
      </c>
      <c r="N26" s="285">
        <f>+'2. önkorm.bevkiad'!N26+'3-10 önálló int.be-ki.'!EL26</f>
        <v>0</v>
      </c>
      <c r="O26" s="285">
        <f>+'2. önkorm.bevkiad'!O26+'3-10 önálló int.be-ki.'!EM26</f>
        <v>0</v>
      </c>
      <c r="P26" s="285">
        <f>+'2. önkorm.bevkiad'!P26+'3-10 önálló int.be-ki.'!EN26</f>
        <v>0</v>
      </c>
      <c r="Q26" s="816"/>
      <c r="R26" s="312"/>
    </row>
    <row r="27" spans="1:18" ht="12.75" customHeight="1" x14ac:dyDescent="0.25">
      <c r="A27" s="282" t="s">
        <v>23</v>
      </c>
      <c r="B27" s="283" t="s">
        <v>95</v>
      </c>
      <c r="C27" s="284">
        <f>+'2. önkorm.bevkiad'!C27+'3-10 önálló int.be-ki.'!EA27</f>
        <v>326000000</v>
      </c>
      <c r="D27" s="289">
        <f>+'2. önkorm.bevkiad'!D27+'3-10 önálló int.be-ki.'!EB27</f>
        <v>270834939</v>
      </c>
      <c r="E27" s="289">
        <f>+'2. önkorm.bevkiad'!E27+'3-10 önálló int.be-ki.'!EC27</f>
        <v>270834939</v>
      </c>
      <c r="F27" s="289">
        <f>+'2. önkorm.bevkiad'!F27+'3-10 önálló int.be-ki.'!ED27</f>
        <v>221351063</v>
      </c>
      <c r="G27" s="284">
        <f>+'2. önkorm.bevkiad'!G27+'3-10 önálló int.be-ki.'!EE27</f>
        <v>0</v>
      </c>
      <c r="H27" s="284">
        <f>+'2. önkorm.bevkiad'!H27+'3-10 önálló int.be-ki.'!EF27</f>
        <v>0</v>
      </c>
      <c r="I27" s="284">
        <f>+'2. önkorm.bevkiad'!I27+'3-10 önálló int.be-ki.'!EG27</f>
        <v>0</v>
      </c>
      <c r="J27" s="284">
        <f>+'2. önkorm.bevkiad'!J27+'3-10 önálló int.be-ki.'!EH27</f>
        <v>0</v>
      </c>
      <c r="K27" s="284">
        <f>+'2. önkorm.bevkiad'!K27+'3-10 önálló int.be-ki.'!EI27</f>
        <v>0</v>
      </c>
      <c r="L27" s="284">
        <f>+'2. önkorm.bevkiad'!L27+'3-10 önálló int.be-ki.'!EJ27</f>
        <v>0</v>
      </c>
      <c r="M27" s="285">
        <f>+'2. önkorm.bevkiad'!M27+'3-10 önálló int.be-ki.'!EK27</f>
        <v>326000000</v>
      </c>
      <c r="N27" s="285">
        <f>+'2. önkorm.bevkiad'!N27+'3-10 önálló int.be-ki.'!EL27</f>
        <v>270834939</v>
      </c>
      <c r="O27" s="285">
        <f>+'2. önkorm.bevkiad'!O27+'3-10 önálló int.be-ki.'!EM27</f>
        <v>270834939</v>
      </c>
      <c r="P27" s="285">
        <f>+'2. önkorm.bevkiad'!P27+'3-10 önálló int.be-ki.'!EN27</f>
        <v>221351063</v>
      </c>
      <c r="Q27" s="814">
        <v>726039</v>
      </c>
      <c r="R27" s="257">
        <v>690049</v>
      </c>
    </row>
    <row r="28" spans="1:18" ht="12.75" customHeight="1" x14ac:dyDescent="0.25">
      <c r="A28" s="282" t="s">
        <v>24</v>
      </c>
      <c r="B28" s="283" t="s">
        <v>96</v>
      </c>
      <c r="C28" s="284">
        <f>+'2. önkorm.bevkiad'!C28+'3-10 önálló int.be-ki.'!EA28</f>
        <v>1080936000</v>
      </c>
      <c r="D28" s="289">
        <f>+'2. önkorm.bevkiad'!D28+'3-10 önálló int.be-ki.'!EB28</f>
        <v>1070381689</v>
      </c>
      <c r="E28" s="289">
        <f>+'2. önkorm.bevkiad'!E28+'3-10 önálló int.be-ki.'!EC28</f>
        <v>1107967000</v>
      </c>
      <c r="F28" s="289">
        <f>+'2. önkorm.bevkiad'!F28+'3-10 önálló int.be-ki.'!ED28</f>
        <v>1132289100</v>
      </c>
      <c r="G28" s="284">
        <f>+'2. önkorm.bevkiad'!G28+'3-10 önálló int.be-ki.'!EE28</f>
        <v>0</v>
      </c>
      <c r="H28" s="284">
        <f>+'2. önkorm.bevkiad'!H28+'3-10 önálló int.be-ki.'!EF28</f>
        <v>0</v>
      </c>
      <c r="I28" s="284">
        <f>+'2. önkorm.bevkiad'!I28+'3-10 önálló int.be-ki.'!EG28</f>
        <v>0</v>
      </c>
      <c r="J28" s="284">
        <f>+'2. önkorm.bevkiad'!J28+'3-10 önálló int.be-ki.'!EH28</f>
        <v>0</v>
      </c>
      <c r="K28" s="284">
        <f>+'2. önkorm.bevkiad'!K28+'3-10 önálló int.be-ki.'!EI28</f>
        <v>0</v>
      </c>
      <c r="L28" s="284">
        <f>+'2. önkorm.bevkiad'!L28+'3-10 önálló int.be-ki.'!EJ28</f>
        <v>0</v>
      </c>
      <c r="M28" s="285">
        <f>+'2. önkorm.bevkiad'!M28+'3-10 önálló int.be-ki.'!EK28</f>
        <v>1080936000</v>
      </c>
      <c r="N28" s="285">
        <f>+'2. önkorm.bevkiad'!N28+'3-10 önálló int.be-ki.'!EL28</f>
        <v>1070381689</v>
      </c>
      <c r="O28" s="285">
        <f>+'2. önkorm.bevkiad'!O28+'3-10 önálló int.be-ki.'!EM28</f>
        <v>1492603000</v>
      </c>
      <c r="P28" s="285">
        <f>+'2. önkorm.bevkiad'!P28+'3-10 önálló int.be-ki.'!EN28</f>
        <v>1132289100</v>
      </c>
      <c r="Q28" s="814">
        <v>951533</v>
      </c>
      <c r="R28" s="257">
        <v>850269</v>
      </c>
    </row>
    <row r="29" spans="1:18" ht="12.75" customHeight="1" x14ac:dyDescent="0.25">
      <c r="A29" s="282"/>
      <c r="B29" s="283" t="s">
        <v>97</v>
      </c>
      <c r="C29" s="284">
        <f>+'2. önkorm.bevkiad'!C29+'3-10 önálló int.be-ki.'!EA29</f>
        <v>1080936000</v>
      </c>
      <c r="D29" s="289">
        <f>+'2. önkorm.bevkiad'!D29+'3-10 önálló int.be-ki.'!EB29</f>
        <v>1070381689</v>
      </c>
      <c r="E29" s="289">
        <f>+'2. önkorm.bevkiad'!E29+'3-10 önálló int.be-ki.'!EC29</f>
        <v>1107967000</v>
      </c>
      <c r="F29" s="289">
        <f>+'2. önkorm.bevkiad'!F29+'3-10 önálló int.be-ki.'!ED29</f>
        <v>1132289100</v>
      </c>
      <c r="G29" s="284">
        <f>+'2. önkorm.bevkiad'!G29+'3-10 önálló int.be-ki.'!EE29</f>
        <v>0</v>
      </c>
      <c r="H29" s="284">
        <f>+'2. önkorm.bevkiad'!H29+'3-10 önálló int.be-ki.'!EF29</f>
        <v>0</v>
      </c>
      <c r="I29" s="284">
        <f>+'2. önkorm.bevkiad'!I29+'3-10 önálló int.be-ki.'!EG29</f>
        <v>0</v>
      </c>
      <c r="J29" s="284">
        <f>+'2. önkorm.bevkiad'!J29+'3-10 önálló int.be-ki.'!EH29</f>
        <v>0</v>
      </c>
      <c r="K29" s="284">
        <f>+'2. önkorm.bevkiad'!K29+'3-10 önálló int.be-ki.'!EI29</f>
        <v>0</v>
      </c>
      <c r="L29" s="284">
        <f>+'2. önkorm.bevkiad'!L29+'3-10 önálló int.be-ki.'!EJ29</f>
        <v>0</v>
      </c>
      <c r="M29" s="285">
        <f>+'2. önkorm.bevkiad'!M29+'3-10 önálló int.be-ki.'!EK29</f>
        <v>1080936000</v>
      </c>
      <c r="N29" s="285">
        <f>+'2. önkorm.bevkiad'!N29+'3-10 önálló int.be-ki.'!EL29</f>
        <v>1070381689</v>
      </c>
      <c r="O29" s="285">
        <f>+'2. önkorm.bevkiad'!O29+'3-10 önálló int.be-ki.'!EM29</f>
        <v>1492603000</v>
      </c>
      <c r="P29" s="285">
        <f>+'2. önkorm.bevkiad'!P29+'3-10 önálló int.be-ki.'!EN29</f>
        <v>1132289100</v>
      </c>
      <c r="Q29" s="814">
        <v>951533</v>
      </c>
      <c r="R29" s="257">
        <v>850269</v>
      </c>
    </row>
    <row r="30" spans="1:18" ht="12.75" customHeight="1" x14ac:dyDescent="0.25">
      <c r="A30" s="288"/>
      <c r="B30" s="283" t="s">
        <v>236</v>
      </c>
      <c r="C30" s="284">
        <f>+'2. önkorm.bevkiad'!C30+'3-10 önálló int.be-ki.'!EA30</f>
        <v>0</v>
      </c>
      <c r="D30" s="289">
        <f>+'2. önkorm.bevkiad'!D30+'3-10 önálló int.be-ki.'!EB30</f>
        <v>0</v>
      </c>
      <c r="E30" s="289">
        <f>+'2. önkorm.bevkiad'!E30+'3-10 önálló int.be-ki.'!EC30</f>
        <v>0</v>
      </c>
      <c r="F30" s="289">
        <f>+'2. önkorm.bevkiad'!F30+'3-10 önálló int.be-ki.'!ED30</f>
        <v>0</v>
      </c>
      <c r="G30" s="284">
        <f>+'2. önkorm.bevkiad'!G30+'3-10 önálló int.be-ki.'!EE30</f>
        <v>0</v>
      </c>
      <c r="H30" s="284">
        <f>+'2. önkorm.bevkiad'!H30+'3-10 önálló int.be-ki.'!EF30</f>
        <v>0</v>
      </c>
      <c r="I30" s="284">
        <f>+'2. önkorm.bevkiad'!I30+'3-10 önálló int.be-ki.'!EG30</f>
        <v>0</v>
      </c>
      <c r="J30" s="284">
        <f>+'2. önkorm.bevkiad'!J30+'3-10 önálló int.be-ki.'!EH30</f>
        <v>0</v>
      </c>
      <c r="K30" s="284">
        <f>+'2. önkorm.bevkiad'!K30+'3-10 önálló int.be-ki.'!EI30</f>
        <v>0</v>
      </c>
      <c r="L30" s="284">
        <f>+'2. önkorm.bevkiad'!L30+'3-10 önálló int.be-ki.'!EJ30</f>
        <v>0</v>
      </c>
      <c r="M30" s="285">
        <f>+'2. önkorm.bevkiad'!M30+'3-10 önálló int.be-ki.'!EK30</f>
        <v>0</v>
      </c>
      <c r="N30" s="285">
        <f>+'2. önkorm.bevkiad'!N30+'3-10 önálló int.be-ki.'!EL30</f>
        <v>0</v>
      </c>
      <c r="O30" s="285">
        <f>+'2. önkorm.bevkiad'!O30+'3-10 önálló int.be-ki.'!EM30</f>
        <v>0</v>
      </c>
      <c r="P30" s="285">
        <f>+'2. önkorm.bevkiad'!P30+'3-10 önálló int.be-ki.'!EN30</f>
        <v>0</v>
      </c>
      <c r="Q30" s="816"/>
      <c r="R30" s="312"/>
    </row>
    <row r="31" spans="1:18" ht="12.75" customHeight="1" x14ac:dyDescent="0.25">
      <c r="A31" s="282" t="s">
        <v>25</v>
      </c>
      <c r="B31" s="710" t="s">
        <v>98</v>
      </c>
      <c r="C31" s="284">
        <f>+'2. önkorm.bevkiad'!C31+'3-10 önálló int.be-ki.'!EA31</f>
        <v>0</v>
      </c>
      <c r="D31" s="289">
        <f>+'2. önkorm.bevkiad'!D31+'3-10 önálló int.be-ki.'!EB31</f>
        <v>0</v>
      </c>
      <c r="E31" s="289">
        <f>+'2. önkorm.bevkiad'!E31+'3-10 önálló int.be-ki.'!EC31</f>
        <v>0</v>
      </c>
      <c r="F31" s="289">
        <f>+'2. önkorm.bevkiad'!F31+'3-10 önálló int.be-ki.'!ED31</f>
        <v>0</v>
      </c>
      <c r="G31" s="284">
        <f>+'2. önkorm.bevkiad'!G31+'3-10 önálló int.be-ki.'!EE31</f>
        <v>0</v>
      </c>
      <c r="H31" s="284">
        <f>+'2. önkorm.bevkiad'!H31+'3-10 önálló int.be-ki.'!EF31</f>
        <v>0</v>
      </c>
      <c r="I31" s="284">
        <f>+'2. önkorm.bevkiad'!I31+'3-10 önálló int.be-ki.'!EG31</f>
        <v>0</v>
      </c>
      <c r="J31" s="284">
        <f>+'2. önkorm.bevkiad'!J31+'3-10 önálló int.be-ki.'!EH31</f>
        <v>0</v>
      </c>
      <c r="K31" s="284">
        <f>+'2. önkorm.bevkiad'!K31+'3-10 önálló int.be-ki.'!EI31</f>
        <v>0</v>
      </c>
      <c r="L31" s="284">
        <f>+'2. önkorm.bevkiad'!L31+'3-10 önálló int.be-ki.'!EJ31</f>
        <v>0</v>
      </c>
      <c r="M31" s="285">
        <f>+'2. önkorm.bevkiad'!M31+'3-10 önálló int.be-ki.'!EK31</f>
        <v>0</v>
      </c>
      <c r="N31" s="285">
        <f>+'2. önkorm.bevkiad'!N31+'3-10 önálló int.be-ki.'!EL31</f>
        <v>0</v>
      </c>
      <c r="O31" s="285">
        <f>+'2. önkorm.bevkiad'!O31+'3-10 önálló int.be-ki.'!EM31</f>
        <v>0</v>
      </c>
      <c r="P31" s="285">
        <f>+'2. önkorm.bevkiad'!P31+'3-10 önálló int.be-ki.'!EN31</f>
        <v>0</v>
      </c>
      <c r="Q31" s="814">
        <v>32462</v>
      </c>
      <c r="R31" s="257">
        <v>28757</v>
      </c>
    </row>
    <row r="32" spans="1:18" ht="12.75" customHeight="1" x14ac:dyDescent="0.25">
      <c r="A32" s="282" t="s">
        <v>26</v>
      </c>
      <c r="B32" s="283" t="s">
        <v>99</v>
      </c>
      <c r="C32" s="284">
        <f>+'2. önkorm.bevkiad'!C32+'3-10 önálló int.be-ki.'!EA32</f>
        <v>0</v>
      </c>
      <c r="D32" s="289">
        <f>+'2. önkorm.bevkiad'!D32+'3-10 önálló int.be-ki.'!EB32</f>
        <v>0</v>
      </c>
      <c r="E32" s="289">
        <f>+'2. önkorm.bevkiad'!E32+'3-10 önálló int.be-ki.'!EC32</f>
        <v>0</v>
      </c>
      <c r="F32" s="289">
        <f>+'2. önkorm.bevkiad'!F32+'3-10 önálló int.be-ki.'!ED32</f>
        <v>0</v>
      </c>
      <c r="G32" s="284">
        <f>+'2. önkorm.bevkiad'!G32+'3-10 önálló int.be-ki.'!EE32</f>
        <v>0</v>
      </c>
      <c r="H32" s="284">
        <f>+'2. önkorm.bevkiad'!H32+'3-10 önálló int.be-ki.'!EF32</f>
        <v>0</v>
      </c>
      <c r="I32" s="284">
        <f>+'2. önkorm.bevkiad'!I32+'3-10 önálló int.be-ki.'!EG32</f>
        <v>0</v>
      </c>
      <c r="J32" s="284">
        <f>+'2. önkorm.bevkiad'!J32+'3-10 önálló int.be-ki.'!EH32</f>
        <v>0</v>
      </c>
      <c r="K32" s="284">
        <f>+'2. önkorm.bevkiad'!K32+'3-10 önálló int.be-ki.'!EI32</f>
        <v>0</v>
      </c>
      <c r="L32" s="284">
        <f>+'2. önkorm.bevkiad'!L32+'3-10 önálló int.be-ki.'!EJ32</f>
        <v>0</v>
      </c>
      <c r="M32" s="285">
        <f>+'2. önkorm.bevkiad'!M32+'3-10 önálló int.be-ki.'!EK32</f>
        <v>0</v>
      </c>
      <c r="N32" s="285">
        <f>+'2. önkorm.bevkiad'!N32+'3-10 önálló int.be-ki.'!EL32</f>
        <v>0</v>
      </c>
      <c r="O32" s="285">
        <f>+'2. önkorm.bevkiad'!O32+'3-10 önálló int.be-ki.'!EM32</f>
        <v>0</v>
      </c>
      <c r="P32" s="285">
        <f>+'2. önkorm.bevkiad'!P32+'3-10 önálló int.be-ki.'!EN32</f>
        <v>0</v>
      </c>
      <c r="Q32" s="816"/>
      <c r="R32" s="312"/>
    </row>
    <row r="33" spans="1:20" s="180" customFormat="1" ht="12.75" customHeight="1" x14ac:dyDescent="0.25">
      <c r="A33" s="286" t="s">
        <v>27</v>
      </c>
      <c r="B33" s="287" t="s">
        <v>100</v>
      </c>
      <c r="C33" s="475">
        <f>+'2. önkorm.bevkiad'!C33+'3-10 önálló int.be-ki.'!EA33</f>
        <v>1756936000</v>
      </c>
      <c r="D33" s="475">
        <f>+'2. önkorm.bevkiad'!D33+'3-10 önálló int.be-ki.'!EB33</f>
        <v>1991216628</v>
      </c>
      <c r="E33" s="475">
        <f>+'2. önkorm.bevkiad'!E33+'3-10 önálló int.be-ki.'!EC33</f>
        <v>2028801939</v>
      </c>
      <c r="F33" s="475">
        <f>+'2. önkorm.bevkiad'!F33+'3-10 önálló int.be-ki.'!ED33</f>
        <v>2003640163</v>
      </c>
      <c r="G33" s="475">
        <f>+'2. önkorm.bevkiad'!G33+'3-10 önálló int.be-ki.'!EE33</f>
        <v>0</v>
      </c>
      <c r="H33" s="475">
        <f>+'2. önkorm.bevkiad'!H33+'3-10 önálló int.be-ki.'!EF33</f>
        <v>0</v>
      </c>
      <c r="I33" s="475">
        <f>+'2. önkorm.bevkiad'!I33+'3-10 önálló int.be-ki.'!EG33</f>
        <v>0</v>
      </c>
      <c r="J33" s="475">
        <f>+'2. önkorm.bevkiad'!J33+'3-10 önálló int.be-ki.'!EH33</f>
        <v>0</v>
      </c>
      <c r="K33" s="475">
        <f>+'2. önkorm.bevkiad'!K33+'3-10 önálló int.be-ki.'!EI33</f>
        <v>0</v>
      </c>
      <c r="L33" s="475">
        <f>+'2. önkorm.bevkiad'!L33+'3-10 önálló int.be-ki.'!EJ33</f>
        <v>0</v>
      </c>
      <c r="M33" s="475">
        <f>+'2. önkorm.bevkiad'!M33+'3-10 önálló int.be-ki.'!EK33</f>
        <v>1756936000</v>
      </c>
      <c r="N33" s="475">
        <f>+'2. önkorm.bevkiad'!N33+'3-10 önálló int.be-ki.'!EL33</f>
        <v>1991216628</v>
      </c>
      <c r="O33" s="475">
        <f>+'2. önkorm.bevkiad'!O33+'3-10 önálló int.be-ki.'!EM33</f>
        <v>2413437939</v>
      </c>
      <c r="P33" s="475">
        <f>+'2. önkorm.bevkiad'!P33+'3-10 önálló int.be-ki.'!EN33</f>
        <v>2003640163</v>
      </c>
      <c r="Q33" s="814">
        <f>Q24+Q26+Q27+Q28+Q31+Q32</f>
        <v>1916581</v>
      </c>
      <c r="R33" s="258">
        <f>R24+R26+R27+R28+R31+R32</f>
        <v>1962528</v>
      </c>
    </row>
    <row r="34" spans="1:20" s="180" customFormat="1" ht="12.75" customHeight="1" x14ac:dyDescent="0.25">
      <c r="A34" s="286" t="s">
        <v>28</v>
      </c>
      <c r="B34" s="287" t="s">
        <v>101</v>
      </c>
      <c r="C34" s="285">
        <f>+'2. önkorm.bevkiad'!C34+'3-10 önálló int.be-ki.'!EA34</f>
        <v>5027101000</v>
      </c>
      <c r="D34" s="285">
        <f>+'2. önkorm.bevkiad'!D34+'3-10 önálló int.be-ki.'!EB34</f>
        <v>4745403065</v>
      </c>
      <c r="E34" s="285">
        <f>+'2. önkorm.bevkiad'!E34+'3-10 önálló int.be-ki.'!EC34</f>
        <v>4582492000</v>
      </c>
      <c r="F34" s="285">
        <f>+'2. önkorm.bevkiad'!F34+'3-10 önálló int.be-ki.'!ED34</f>
        <v>5089359605</v>
      </c>
      <c r="G34" s="285">
        <f>+'2. önkorm.bevkiad'!G34+'3-10 önálló int.be-ki.'!EE34</f>
        <v>99856000</v>
      </c>
      <c r="H34" s="285">
        <f>+'2. önkorm.bevkiad'!H34+'3-10 önálló int.be-ki.'!EF34</f>
        <v>98093500</v>
      </c>
      <c r="I34" s="285">
        <f>+'2. önkorm.bevkiad'!I34+'3-10 önálló int.be-ki.'!EG34</f>
        <v>98093500</v>
      </c>
      <c r="J34" s="285">
        <f>+'2. önkorm.bevkiad'!J34+'3-10 önálló int.be-ki.'!EH34</f>
        <v>88561708</v>
      </c>
      <c r="K34" s="285">
        <f>+'2. önkorm.bevkiad'!K34+'3-10 önálló int.be-ki.'!EI34</f>
        <v>0</v>
      </c>
      <c r="L34" s="285">
        <f>+'2. önkorm.bevkiad'!L34+'3-10 önálló int.be-ki.'!EJ34</f>
        <v>0</v>
      </c>
      <c r="M34" s="285">
        <f>+'2. önkorm.bevkiad'!M34+'3-10 önálló int.be-ki.'!EK34</f>
        <v>5126957000</v>
      </c>
      <c r="N34" s="285">
        <f>+'2. önkorm.bevkiad'!N34+'3-10 önálló int.be-ki.'!EL34</f>
        <v>4843496565</v>
      </c>
      <c r="O34" s="285">
        <f>+'2. önkorm.bevkiad'!O34+'3-10 önálló int.be-ki.'!EM34</f>
        <v>5073555500</v>
      </c>
      <c r="P34" s="285">
        <f>+'2. önkorm.bevkiad'!P34+'3-10 önálló int.be-ki.'!EN34</f>
        <v>5177921313</v>
      </c>
      <c r="Q34" s="814">
        <f>Q23+Q33</f>
        <v>4549691</v>
      </c>
      <c r="R34" s="258">
        <f>R23+R33</f>
        <v>4371470</v>
      </c>
      <c r="T34" s="690"/>
    </row>
    <row r="35" spans="1:20" ht="12.75" customHeight="1" x14ac:dyDescent="0.25">
      <c r="A35" s="282" t="s">
        <v>29</v>
      </c>
      <c r="B35" s="283" t="s">
        <v>102</v>
      </c>
      <c r="C35" s="284">
        <f>+C28</f>
        <v>1080936000</v>
      </c>
      <c r="D35" s="284">
        <f t="shared" ref="D35" si="0">+D28</f>
        <v>1070381689</v>
      </c>
      <c r="E35" s="284">
        <f>+E28</f>
        <v>1107967000</v>
      </c>
      <c r="F35" s="284">
        <f t="shared" ref="F35:N35" si="1">+F28</f>
        <v>1132289100</v>
      </c>
      <c r="G35" s="284">
        <f t="shared" si="1"/>
        <v>0</v>
      </c>
      <c r="H35" s="284">
        <f t="shared" si="1"/>
        <v>0</v>
      </c>
      <c r="I35" s="284">
        <f t="shared" si="1"/>
        <v>0</v>
      </c>
      <c r="J35" s="284">
        <f t="shared" si="1"/>
        <v>0</v>
      </c>
      <c r="K35" s="284">
        <f t="shared" si="1"/>
        <v>0</v>
      </c>
      <c r="L35" s="284">
        <f t="shared" si="1"/>
        <v>0</v>
      </c>
      <c r="M35" s="284">
        <f t="shared" si="1"/>
        <v>1080936000</v>
      </c>
      <c r="N35" s="284">
        <f t="shared" si="1"/>
        <v>1070381689</v>
      </c>
      <c r="O35" s="284">
        <f>+O28</f>
        <v>1492603000</v>
      </c>
      <c r="P35" s="284">
        <f>+P28</f>
        <v>1132289100</v>
      </c>
      <c r="Q35" s="814">
        <v>951533</v>
      </c>
      <c r="R35" s="257">
        <v>850269</v>
      </c>
    </row>
    <row r="36" spans="1:20" ht="12.75" customHeight="1" x14ac:dyDescent="0.25">
      <c r="A36" s="288" t="s">
        <v>30</v>
      </c>
      <c r="B36" s="283" t="s">
        <v>237</v>
      </c>
      <c r="C36" s="289"/>
      <c r="D36" s="289"/>
      <c r="E36" s="289"/>
      <c r="F36" s="289"/>
      <c r="G36" s="290"/>
      <c r="H36" s="290"/>
      <c r="I36" s="290"/>
      <c r="J36" s="290"/>
      <c r="K36" s="290"/>
      <c r="L36" s="290"/>
      <c r="M36" s="285"/>
      <c r="N36" s="285"/>
      <c r="O36" s="285"/>
      <c r="P36" s="285"/>
      <c r="Q36" s="816"/>
      <c r="R36" s="312"/>
    </row>
    <row r="37" spans="1:20" ht="15" customHeight="1" x14ac:dyDescent="0.25">
      <c r="A37" s="282" t="s">
        <v>235</v>
      </c>
      <c r="B37" s="287" t="s">
        <v>71</v>
      </c>
      <c r="C37" s="285">
        <f>C34-C35-C36</f>
        <v>3946165000</v>
      </c>
      <c r="D37" s="285">
        <f t="shared" ref="D37:N37" si="2">D34-D35-D36</f>
        <v>3675021376</v>
      </c>
      <c r="E37" s="285">
        <f t="shared" si="2"/>
        <v>3474525000</v>
      </c>
      <c r="F37" s="285">
        <f t="shared" si="2"/>
        <v>3957070505</v>
      </c>
      <c r="G37" s="285">
        <f t="shared" si="2"/>
        <v>99856000</v>
      </c>
      <c r="H37" s="285">
        <f t="shared" si="2"/>
        <v>98093500</v>
      </c>
      <c r="I37" s="285">
        <f t="shared" si="2"/>
        <v>98093500</v>
      </c>
      <c r="J37" s="285">
        <f t="shared" si="2"/>
        <v>88561708</v>
      </c>
      <c r="K37" s="285">
        <f t="shared" si="2"/>
        <v>0</v>
      </c>
      <c r="L37" s="285">
        <f t="shared" si="2"/>
        <v>0</v>
      </c>
      <c r="M37" s="285">
        <f t="shared" si="2"/>
        <v>4046021000</v>
      </c>
      <c r="N37" s="285">
        <f t="shared" si="2"/>
        <v>3773114876</v>
      </c>
      <c r="O37" s="285">
        <f>O34-O35-O36</f>
        <v>3580952500</v>
      </c>
      <c r="P37" s="285">
        <f>P34-P35-P36</f>
        <v>4045632213</v>
      </c>
      <c r="Q37" s="814">
        <f>Q34-Q35-Q36</f>
        <v>3598158</v>
      </c>
      <c r="R37" s="258">
        <f>R34-R35-R36</f>
        <v>3521201</v>
      </c>
    </row>
    <row r="38" spans="1:20" ht="30" customHeight="1" x14ac:dyDescent="0.25">
      <c r="A38" s="104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</row>
    <row r="39" spans="1:20" ht="12.75" customHeight="1" x14ac:dyDescent="0.25">
      <c r="B39" s="333" t="s">
        <v>6</v>
      </c>
      <c r="C39" s="49"/>
      <c r="D39" s="49"/>
      <c r="E39" s="49"/>
      <c r="F39" s="49"/>
      <c r="N39" s="51"/>
      <c r="O39" s="550" t="s">
        <v>400</v>
      </c>
      <c r="P39" s="791"/>
    </row>
    <row r="40" spans="1:20" ht="60" x14ac:dyDescent="0.25">
      <c r="A40" s="241" t="s">
        <v>31</v>
      </c>
      <c r="B40" s="242" t="s">
        <v>32</v>
      </c>
      <c r="C40" s="629" t="s">
        <v>418</v>
      </c>
      <c r="D40" s="584" t="s">
        <v>537</v>
      </c>
      <c r="E40" s="585" t="s">
        <v>538</v>
      </c>
      <c r="F40" s="586" t="s">
        <v>539</v>
      </c>
      <c r="G40" s="629" t="s">
        <v>419</v>
      </c>
      <c r="H40" s="630" t="s">
        <v>423</v>
      </c>
      <c r="I40" s="585" t="s">
        <v>423</v>
      </c>
      <c r="J40" s="586" t="s">
        <v>423</v>
      </c>
      <c r="K40" s="629" t="s">
        <v>420</v>
      </c>
      <c r="L40" s="630" t="s">
        <v>424</v>
      </c>
      <c r="M40" s="586" t="s">
        <v>421</v>
      </c>
      <c r="N40" s="587" t="s">
        <v>541</v>
      </c>
      <c r="O40" s="588" t="s">
        <v>542</v>
      </c>
      <c r="P40" s="588" t="s">
        <v>587</v>
      </c>
      <c r="Q40" s="259" t="s">
        <v>437</v>
      </c>
      <c r="R40" s="259" t="s">
        <v>436</v>
      </c>
    </row>
    <row r="41" spans="1:20" s="180" customFormat="1" ht="12.75" customHeight="1" x14ac:dyDescent="0.25">
      <c r="A41" s="465" t="s">
        <v>12</v>
      </c>
      <c r="B41" s="466" t="s">
        <v>103</v>
      </c>
      <c r="C41" s="467">
        <f>+'2. önkorm.bevkiad'!C41+'3-10 önálló int.be-ki.'!EA38</f>
        <v>2265743000</v>
      </c>
      <c r="D41" s="467">
        <f>+'2. önkorm.bevkiad'!D41+'3-10 önálló int.be-ki.'!EB38</f>
        <v>2300130884</v>
      </c>
      <c r="E41" s="467">
        <f>+'2. önkorm.bevkiad'!E41+'3-10 önálló int.be-ki.'!EC38</f>
        <v>2416710478</v>
      </c>
      <c r="F41" s="467">
        <f>+'2. önkorm.bevkiad'!F41+'3-10 önálló int.be-ki.'!ED38</f>
        <v>2397584200</v>
      </c>
      <c r="G41" s="467">
        <f>+'2. önkorm.bevkiad'!G41+'3-10 önálló int.be-ki.'!EE38</f>
        <v>99856000</v>
      </c>
      <c r="H41" s="467">
        <f>+'2. önkorm.bevkiad'!H41+'3-10 önálló int.be-ki.'!EF38</f>
        <v>98379608</v>
      </c>
      <c r="I41" s="467">
        <f>+'2. önkorm.bevkiad'!I41+'3-10 önálló int.be-ki.'!EG38</f>
        <v>25420608</v>
      </c>
      <c r="J41" s="467">
        <f>+'2. önkorm.bevkiad'!J41+'3-10 önálló int.be-ki.'!EH38</f>
        <v>88561708</v>
      </c>
      <c r="K41" s="467">
        <f>+'2. önkorm.bevkiad'!K41+'3-10 önálló int.be-ki.'!EI38</f>
        <v>0</v>
      </c>
      <c r="L41" s="467">
        <f>+'2. önkorm.bevkiad'!L41+'3-10 önálló int.be-ki.'!EJ38</f>
        <v>0</v>
      </c>
      <c r="M41" s="285">
        <f>+'2. önkorm.bevkiad'!M41+'3-10 önálló int.be-ki.'!EK38</f>
        <v>2365599000</v>
      </c>
      <c r="N41" s="285">
        <f>+'2. önkorm.bevkiad'!N41+'3-10 önálló int.be-ki.'!EL38</f>
        <v>2398510492</v>
      </c>
      <c r="O41" s="285">
        <f>+'2. önkorm.bevkiad'!O41+'3-10 önálló int.be-ki.'!EM38</f>
        <v>2828751086</v>
      </c>
      <c r="P41" s="285">
        <f>+'2. önkorm.bevkiad'!P41+'3-10 önálló int.be-ki.'!EN38</f>
        <v>2486145908</v>
      </c>
      <c r="Q41" s="257">
        <f>SUM(Q42:Q46)</f>
        <v>2275443</v>
      </c>
      <c r="R41" s="258">
        <f>SUM(R42:R46)</f>
        <v>1943749</v>
      </c>
    </row>
    <row r="42" spans="1:20" ht="12.75" customHeight="1" x14ac:dyDescent="0.25">
      <c r="A42" s="282" t="s">
        <v>59</v>
      </c>
      <c r="B42" s="283" t="s">
        <v>7</v>
      </c>
      <c r="C42" s="284">
        <f>+'2. önkorm.bevkiad'!C42+'3-10 önálló int.be-ki.'!EA39</f>
        <v>814708000</v>
      </c>
      <c r="D42" s="284">
        <f>+'2. önkorm.bevkiad'!D42+'3-10 önálló int.be-ki.'!EB39</f>
        <v>826648453</v>
      </c>
      <c r="E42" s="284">
        <f>+'2. önkorm.bevkiad'!E42+'3-10 önálló int.be-ki.'!EC39</f>
        <v>860081311</v>
      </c>
      <c r="F42" s="284">
        <f>+'2. önkorm.bevkiad'!F42+'3-10 önálló int.be-ki.'!ED39</f>
        <v>896553800</v>
      </c>
      <c r="G42" s="284">
        <f>+'2. önkorm.bevkiad'!G42+'3-10 önálló int.be-ki.'!EE39</f>
        <v>0</v>
      </c>
      <c r="H42" s="284">
        <f>+'2. önkorm.bevkiad'!H42+'3-10 önálló int.be-ki.'!EF39</f>
        <v>0</v>
      </c>
      <c r="I42" s="284">
        <f>+'2. önkorm.bevkiad'!I42+'3-10 önálló int.be-ki.'!EG39</f>
        <v>0</v>
      </c>
      <c r="J42" s="284">
        <f>+'2. önkorm.bevkiad'!J42+'3-10 önálló int.be-ki.'!EH39</f>
        <v>0</v>
      </c>
      <c r="K42" s="284">
        <f>+'2. önkorm.bevkiad'!K42+'3-10 önálló int.be-ki.'!EI39</f>
        <v>0</v>
      </c>
      <c r="L42" s="284">
        <f>+'2. önkorm.bevkiad'!L42+'3-10 önálló int.be-ki.'!EJ39</f>
        <v>0</v>
      </c>
      <c r="M42" s="285">
        <f>+'2. önkorm.bevkiad'!M42+'3-10 önálló int.be-ki.'!EK39</f>
        <v>814708000</v>
      </c>
      <c r="N42" s="285">
        <f>+'2. önkorm.bevkiad'!N42+'3-10 önálló int.be-ki.'!EL39</f>
        <v>826648453</v>
      </c>
      <c r="O42" s="285">
        <f>+'2. önkorm.bevkiad'!O42+'3-10 önálló int.be-ki.'!EM39</f>
        <v>1122915311</v>
      </c>
      <c r="P42" s="285">
        <f>+'2. önkorm.bevkiad'!P42+'3-10 önálló int.be-ki.'!EN39</f>
        <v>896553800</v>
      </c>
      <c r="Q42" s="257">
        <v>746693</v>
      </c>
      <c r="R42" s="257">
        <v>659592</v>
      </c>
      <c r="S42" s="14"/>
    </row>
    <row r="43" spans="1:20" ht="12.75" customHeight="1" x14ac:dyDescent="0.25">
      <c r="A43" s="282" t="s">
        <v>60</v>
      </c>
      <c r="B43" s="283" t="s">
        <v>107</v>
      </c>
      <c r="C43" s="284">
        <f>+'2. önkorm.bevkiad'!C43+'3-10 önálló int.be-ki.'!EA40</f>
        <v>151832000</v>
      </c>
      <c r="D43" s="284">
        <f>+'2. önkorm.bevkiad'!D43+'3-10 önálló int.be-ki.'!EB40</f>
        <v>154332000</v>
      </c>
      <c r="E43" s="284">
        <f>+'2. önkorm.bevkiad'!E43+'3-10 önálló int.be-ki.'!EC40</f>
        <v>146772081</v>
      </c>
      <c r="F43" s="284">
        <f>+'2. önkorm.bevkiad'!F43+'3-10 önálló int.be-ki.'!ED40</f>
        <v>152906660</v>
      </c>
      <c r="G43" s="284">
        <f>+'2. önkorm.bevkiad'!G43+'3-10 önálló int.be-ki.'!EE40</f>
        <v>0</v>
      </c>
      <c r="H43" s="284">
        <f>+'2. önkorm.bevkiad'!H43+'3-10 önálló int.be-ki.'!EF40</f>
        <v>0</v>
      </c>
      <c r="I43" s="284">
        <f>+'2. önkorm.bevkiad'!I43+'3-10 önálló int.be-ki.'!EG40</f>
        <v>0</v>
      </c>
      <c r="J43" s="284">
        <f>+'2. önkorm.bevkiad'!J43+'3-10 önálló int.be-ki.'!EH40</f>
        <v>0</v>
      </c>
      <c r="K43" s="284">
        <f>+'2. önkorm.bevkiad'!K43+'3-10 önálló int.be-ki.'!EI40</f>
        <v>0</v>
      </c>
      <c r="L43" s="284">
        <f>+'2. önkorm.bevkiad'!L43+'3-10 önálló int.be-ki.'!EJ40</f>
        <v>0</v>
      </c>
      <c r="M43" s="285">
        <f>+'2. önkorm.bevkiad'!M43+'3-10 önálló int.be-ki.'!EK40</f>
        <v>151832000</v>
      </c>
      <c r="N43" s="285">
        <f>+'2. önkorm.bevkiad'!N43+'3-10 önálló int.be-ki.'!EL40</f>
        <v>154332000</v>
      </c>
      <c r="O43" s="285">
        <f>+'2. önkorm.bevkiad'!O43+'3-10 önálló int.be-ki.'!EM40</f>
        <v>193808081</v>
      </c>
      <c r="P43" s="285">
        <f>+'2. önkorm.bevkiad'!P43+'3-10 önálló int.be-ki.'!EN40</f>
        <v>152906660</v>
      </c>
      <c r="Q43" s="257">
        <v>143271</v>
      </c>
      <c r="R43" s="257">
        <v>131958</v>
      </c>
    </row>
    <row r="44" spans="1:20" ht="12.75" customHeight="1" x14ac:dyDescent="0.25">
      <c r="A44" s="282" t="s">
        <v>61</v>
      </c>
      <c r="B44" s="283" t="s">
        <v>108</v>
      </c>
      <c r="C44" s="284">
        <f>+'2. önkorm.bevkiad'!C44+'3-10 önálló int.be-ki.'!EA41</f>
        <v>699265000</v>
      </c>
      <c r="D44" s="284">
        <f>+'2. önkorm.bevkiad'!D44+'3-10 önálló int.be-ki.'!EB41</f>
        <v>717910894</v>
      </c>
      <c r="E44" s="284">
        <f>+'2. önkorm.bevkiad'!E44+'3-10 önálló int.be-ki.'!EC41</f>
        <v>758167949</v>
      </c>
      <c r="F44" s="284">
        <f>+'2. önkorm.bevkiad'!F44+'3-10 önálló int.be-ki.'!ED41</f>
        <v>759001886</v>
      </c>
      <c r="G44" s="284">
        <f>+'2. önkorm.bevkiad'!G44+'3-10 önálló int.be-ki.'!EE41</f>
        <v>0</v>
      </c>
      <c r="H44" s="284">
        <f>+'2. önkorm.bevkiad'!H44+'3-10 önálló int.be-ki.'!EF41</f>
        <v>0</v>
      </c>
      <c r="I44" s="284">
        <f>+'2. önkorm.bevkiad'!I44+'3-10 önálló int.be-ki.'!EG41</f>
        <v>3332000</v>
      </c>
      <c r="J44" s="284">
        <f>+'2. önkorm.bevkiad'!J44+'3-10 önálló int.be-ki.'!EH41</f>
        <v>0</v>
      </c>
      <c r="K44" s="284">
        <f>+'2. önkorm.bevkiad'!K44+'3-10 önálló int.be-ki.'!EI41</f>
        <v>0</v>
      </c>
      <c r="L44" s="284">
        <f>+'2. önkorm.bevkiad'!L44+'3-10 önálló int.be-ki.'!EJ41</f>
        <v>0</v>
      </c>
      <c r="M44" s="285">
        <f>+'2. önkorm.bevkiad'!M44+'3-10 önálló int.be-ki.'!EK41</f>
        <v>699265000</v>
      </c>
      <c r="N44" s="285">
        <f>+'2. önkorm.bevkiad'!N44+'3-10 önálló int.be-ki.'!EL41</f>
        <v>717910894</v>
      </c>
      <c r="O44" s="285">
        <f>+'2. önkorm.bevkiad'!O44+'3-10 önálló int.be-ki.'!EM41</f>
        <v>838249949</v>
      </c>
      <c r="P44" s="285">
        <f>+'2. önkorm.bevkiad'!P44+'3-10 önálló int.be-ki.'!EN41</f>
        <v>759001886</v>
      </c>
      <c r="Q44" s="257">
        <v>802469</v>
      </c>
      <c r="R44" s="257">
        <v>630274</v>
      </c>
    </row>
    <row r="45" spans="1:20" ht="12.75" customHeight="1" x14ac:dyDescent="0.25">
      <c r="A45" s="282" t="s">
        <v>62</v>
      </c>
      <c r="B45" s="283" t="s">
        <v>109</v>
      </c>
      <c r="C45" s="29">
        <f>+'2. önkorm.bevkiad'!C45+'3-10 önálló int.be-ki.'!EA42</f>
        <v>0</v>
      </c>
      <c r="D45" s="29">
        <f>+'2. önkorm.bevkiad'!D45+'3-10 önálló int.be-ki.'!EB42</f>
        <v>0</v>
      </c>
      <c r="E45" s="29">
        <f>+'2. önkorm.bevkiad'!E45+'3-10 önálló int.be-ki.'!EC42</f>
        <v>0</v>
      </c>
      <c r="F45" s="29">
        <f>+'2. önkorm.bevkiad'!F45+'3-10 önálló int.be-ki.'!ED42</f>
        <v>0</v>
      </c>
      <c r="G45" s="29">
        <f>+'2. önkorm.bevkiad'!G45+'3-10 önálló int.be-ki.'!EE42</f>
        <v>17000000</v>
      </c>
      <c r="H45" s="369">
        <f>+'2. önkorm.bevkiad'!H45+'3-10 önálló int.be-ki.'!EF42</f>
        <v>19523608</v>
      </c>
      <c r="I45" s="369">
        <f>+'2. önkorm.bevkiad'!I45+'3-10 önálló int.be-ki.'!EG42</f>
        <v>19523608</v>
      </c>
      <c r="J45" s="369">
        <f>+'2. önkorm.bevkiad'!J45+'3-10 önálló int.be-ki.'!EH42</f>
        <v>19523608</v>
      </c>
      <c r="K45" s="284">
        <f>+'2. önkorm.bevkiad'!K45+'3-10 önálló int.be-ki.'!EI42</f>
        <v>0</v>
      </c>
      <c r="L45" s="284">
        <f>+'2. önkorm.bevkiad'!L45+'3-10 önálló int.be-ki.'!EJ42</f>
        <v>0</v>
      </c>
      <c r="M45" s="285">
        <f>+'2. önkorm.bevkiad'!M45+'3-10 önálló int.be-ki.'!EK42</f>
        <v>17000000</v>
      </c>
      <c r="N45" s="285">
        <f>+'2. önkorm.bevkiad'!N45+'3-10 önálló int.be-ki.'!EL42</f>
        <v>19523608</v>
      </c>
      <c r="O45" s="285">
        <f>+'2. önkorm.bevkiad'!O45+'3-10 önálló int.be-ki.'!EM42</f>
        <v>19523608</v>
      </c>
      <c r="P45" s="285">
        <f>+'2. önkorm.bevkiad'!P45+'3-10 önálló int.be-ki.'!EN42</f>
        <v>19523608</v>
      </c>
      <c r="Q45" s="257">
        <v>16550</v>
      </c>
      <c r="R45" s="257">
        <v>14001</v>
      </c>
    </row>
    <row r="46" spans="1:20" ht="12.75" customHeight="1" x14ac:dyDescent="0.25">
      <c r="A46" s="282" t="s">
        <v>63</v>
      </c>
      <c r="B46" s="283" t="s">
        <v>110</v>
      </c>
      <c r="C46" s="29">
        <f>+'2. önkorm.bevkiad'!C46+'3-10 önálló int.be-ki.'!EA43</f>
        <v>485938000</v>
      </c>
      <c r="D46" s="29">
        <f>+'2. önkorm.bevkiad'!D46+'3-10 önálló int.be-ki.'!EB43</f>
        <v>506549817</v>
      </c>
      <c r="E46" s="29">
        <f>+'2. önkorm.bevkiad'!E46+'3-10 önálló int.be-ki.'!EC43</f>
        <v>615644817</v>
      </c>
      <c r="F46" s="29">
        <f>+'2. önkorm.bevkiad'!F46+'3-10 önálló int.be-ki.'!ED43</f>
        <v>553077534</v>
      </c>
      <c r="G46" s="29">
        <f>+'2. önkorm.bevkiad'!G46+'3-10 önálló int.be-ki.'!EE43</f>
        <v>82856000</v>
      </c>
      <c r="H46" s="29">
        <f>+'2. önkorm.bevkiad'!H46+'3-10 önálló int.be-ki.'!EF43</f>
        <v>78856000</v>
      </c>
      <c r="I46" s="29">
        <f>+'2. önkorm.bevkiad'!I46+'3-10 önálló int.be-ki.'!EG43</f>
        <v>2565000</v>
      </c>
      <c r="J46" s="29">
        <f>+'2. önkorm.bevkiad'!J46+'3-10 önálló int.be-ki.'!EH43</f>
        <v>69038100</v>
      </c>
      <c r="K46" s="284">
        <f>+'2. önkorm.bevkiad'!K46+'3-10 önálló int.be-ki.'!EI43</f>
        <v>0</v>
      </c>
      <c r="L46" s="284">
        <f>+'2. önkorm.bevkiad'!L46+'3-10 önálló int.be-ki.'!EJ43</f>
        <v>0</v>
      </c>
      <c r="M46" s="285">
        <f>+'2. önkorm.bevkiad'!M46+'3-10 önálló int.be-ki.'!EK43</f>
        <v>568794000</v>
      </c>
      <c r="N46" s="285">
        <f>+'2. önkorm.bevkiad'!N46+'3-10 önálló int.be-ki.'!EL43</f>
        <v>585405817</v>
      </c>
      <c r="O46" s="285">
        <f>+'2. önkorm.bevkiad'!O46+'3-10 önálló int.be-ki.'!EM43</f>
        <v>618209817</v>
      </c>
      <c r="P46" s="285">
        <f>+'2. önkorm.bevkiad'!P46+'3-10 önálló int.be-ki.'!EN43</f>
        <v>622115634</v>
      </c>
      <c r="Q46" s="257">
        <f>SUM(Q47:Q50)</f>
        <v>566460</v>
      </c>
      <c r="R46" s="257">
        <v>507924</v>
      </c>
    </row>
    <row r="47" spans="1:20" s="472" customFormat="1" ht="12.75" customHeight="1" x14ac:dyDescent="0.25">
      <c r="A47" s="468" t="s">
        <v>104</v>
      </c>
      <c r="B47" s="469" t="s">
        <v>434</v>
      </c>
      <c r="C47" s="165">
        <f>+'2. önkorm.bevkiad'!C47+'3-10 önálló int.be-ki.'!EA44</f>
        <v>6755000</v>
      </c>
      <c r="D47" s="165">
        <f>+'2. önkorm.bevkiad'!D47+'3-10 önálló int.be-ki.'!EB44</f>
        <v>6755000</v>
      </c>
      <c r="E47" s="165">
        <f>+'2. önkorm.bevkiad'!E47+'3-10 önálló int.be-ki.'!EC44</f>
        <v>6801000</v>
      </c>
      <c r="F47" s="165">
        <f>+'2. önkorm.bevkiad'!F47+'3-10 önálló int.be-ki.'!ED44</f>
        <v>9533081</v>
      </c>
      <c r="G47" s="165">
        <f>+'2. önkorm.bevkiad'!G47+'3-10 önálló int.be-ki.'!EE44</f>
        <v>0</v>
      </c>
      <c r="H47" s="165">
        <f>+'2. önkorm.bevkiad'!H47+'3-10 önálló int.be-ki.'!EF44</f>
        <v>0</v>
      </c>
      <c r="I47" s="165">
        <f>+'2. önkorm.bevkiad'!I47+'3-10 önálló int.be-ki.'!EG44</f>
        <v>168000</v>
      </c>
      <c r="J47" s="165">
        <f>+'2. önkorm.bevkiad'!J47+'3-10 önálló int.be-ki.'!EH44</f>
        <v>0</v>
      </c>
      <c r="K47" s="470">
        <f>+'2. önkorm.bevkiad'!K47+'3-10 önálló int.be-ki.'!EI44</f>
        <v>0</v>
      </c>
      <c r="L47" s="470">
        <f>+'2. önkorm.bevkiad'!L47+'3-10 önálló int.be-ki.'!EJ44</f>
        <v>0</v>
      </c>
      <c r="M47" s="471">
        <f>+'2. önkorm.bevkiad'!M47+'3-10 önálló int.be-ki.'!EK44</f>
        <v>6755000</v>
      </c>
      <c r="N47" s="471">
        <f>+'2. önkorm.bevkiad'!N47+'3-10 önálló int.be-ki.'!EL44</f>
        <v>6755000</v>
      </c>
      <c r="O47" s="471">
        <f>+'2. önkorm.bevkiad'!O47+'3-10 önálló int.be-ki.'!EM44</f>
        <v>6969000</v>
      </c>
      <c r="P47" s="471">
        <f>+'2. önkorm.bevkiad'!P47+'3-10 önálló int.be-ki.'!EN44</f>
        <v>9533081</v>
      </c>
      <c r="Q47" s="257">
        <v>9662</v>
      </c>
      <c r="R47" s="257"/>
    </row>
    <row r="48" spans="1:20" s="472" customFormat="1" ht="12.75" customHeight="1" x14ac:dyDescent="0.25">
      <c r="A48" s="468"/>
      <c r="B48" s="599" t="s">
        <v>550</v>
      </c>
      <c r="C48" s="165">
        <f>+'2. önkorm.bevkiad'!C48+'3-10 önálló int.be-ki.'!EA45</f>
        <v>479183000</v>
      </c>
      <c r="D48" s="165">
        <f>+'2. önkorm.bevkiad'!D48+'3-10 önálló int.be-ki.'!EB45</f>
        <v>479183000</v>
      </c>
      <c r="E48" s="165">
        <f>+'2. önkorm.bevkiad'!E48+'3-10 önálló int.be-ki.'!EC45</f>
        <v>588232000</v>
      </c>
      <c r="F48" s="165">
        <f>+'2. önkorm.bevkiad'!F48+'3-10 önálló int.be-ki.'!ED45</f>
        <v>522932636</v>
      </c>
      <c r="G48" s="165">
        <f>+'2. önkorm.bevkiad'!G48+'3-10 önálló int.be-ki.'!EE45</f>
        <v>82856000</v>
      </c>
      <c r="H48" s="165">
        <f>+'2. önkorm.bevkiad'!H48+'3-10 önálló int.be-ki.'!EF45</f>
        <v>78856000</v>
      </c>
      <c r="I48" s="165">
        <f>+'2. önkorm.bevkiad'!I48+'3-10 önálló int.be-ki.'!EG45</f>
        <v>2565000</v>
      </c>
      <c r="J48" s="165">
        <f>+'2. önkorm.bevkiad'!J48+'3-10 önálló int.be-ki.'!EH45</f>
        <v>69038100</v>
      </c>
      <c r="K48" s="470">
        <f>+'2. önkorm.bevkiad'!K48+'3-10 önálló int.be-ki.'!EI45</f>
        <v>0</v>
      </c>
      <c r="L48" s="470">
        <f>+'2. önkorm.bevkiad'!L48+'3-10 önálló int.be-ki.'!EJ45</f>
        <v>0</v>
      </c>
      <c r="M48" s="471">
        <f>+'2. önkorm.bevkiad'!M48+'3-10 önálló int.be-ki.'!EK45</f>
        <v>562039000</v>
      </c>
      <c r="N48" s="471">
        <f>+'2. önkorm.bevkiad'!N48+'3-10 önálló int.be-ki.'!EL45</f>
        <v>558039000</v>
      </c>
      <c r="O48" s="471">
        <f>+'2. önkorm.bevkiad'!O48+'3-10 önálló int.be-ki.'!EM45</f>
        <v>590797000</v>
      </c>
      <c r="P48" s="471">
        <f>+'2. önkorm.bevkiad'!P48+'3-10 önálló int.be-ki.'!EN45</f>
        <v>591970736</v>
      </c>
      <c r="Q48" s="257"/>
      <c r="R48" s="257"/>
    </row>
    <row r="49" spans="1:18" s="472" customFormat="1" ht="12.75" customHeight="1" x14ac:dyDescent="0.25">
      <c r="A49" s="473" t="s">
        <v>105</v>
      </c>
      <c r="B49" s="469" t="s">
        <v>111</v>
      </c>
      <c r="C49" s="165">
        <f>+'2. önkorm.bevkiad'!C49+'3-10 önálló int.be-ki.'!EA46</f>
        <v>241272000</v>
      </c>
      <c r="D49" s="165">
        <f>+'2. önkorm.bevkiad'!D49+'3-10 önálló int.be-ki.'!EB46</f>
        <v>241272000</v>
      </c>
      <c r="E49" s="165">
        <f>+'2. önkorm.bevkiad'!E49+'3-10 önálló int.be-ki.'!EC46</f>
        <v>300888000</v>
      </c>
      <c r="F49" s="165">
        <f>+'2. önkorm.bevkiad'!F49+'3-10 önálló int.be-ki.'!ED46</f>
        <v>280688636</v>
      </c>
      <c r="G49" s="165">
        <f>+'2. önkorm.bevkiad'!G49+'3-10 önálló int.be-ki.'!EE46</f>
        <v>49356000</v>
      </c>
      <c r="H49" s="165">
        <f>+'2. önkorm.bevkiad'!H49+'3-10 önálló int.be-ki.'!EF46</f>
        <v>43756000</v>
      </c>
      <c r="I49" s="165">
        <f>+'2. önkorm.bevkiad'!I49+'3-10 önálló int.be-ki.'!EG46</f>
        <v>1160000</v>
      </c>
      <c r="J49" s="165">
        <f>+'2. önkorm.bevkiad'!J49+'3-10 önálló int.be-ki.'!EH46</f>
        <v>23938100</v>
      </c>
      <c r="K49" s="470">
        <f>+'2. önkorm.bevkiad'!K49+'3-10 önálló int.be-ki.'!EI46</f>
        <v>0</v>
      </c>
      <c r="L49" s="470">
        <f>+'2. önkorm.bevkiad'!L49+'3-10 önálló int.be-ki.'!EJ46</f>
        <v>0</v>
      </c>
      <c r="M49" s="471">
        <f>+'2. önkorm.bevkiad'!M49+'3-10 önálló int.be-ki.'!EK46</f>
        <v>290628000</v>
      </c>
      <c r="N49" s="471">
        <f>+'2. önkorm.bevkiad'!N49+'3-10 önálló int.be-ki.'!EL46</f>
        <v>285028000</v>
      </c>
      <c r="O49" s="471">
        <f>+'2. önkorm.bevkiad'!O49+'3-10 önálló int.be-ki.'!EM46</f>
        <v>302048000</v>
      </c>
      <c r="P49" s="471">
        <f>+'2. önkorm.bevkiad'!P49+'3-10 önálló int.be-ki.'!EN46</f>
        <v>304626736</v>
      </c>
      <c r="Q49" s="257">
        <v>302896</v>
      </c>
      <c r="R49" s="257">
        <v>275129</v>
      </c>
    </row>
    <row r="50" spans="1:18" s="472" customFormat="1" ht="12.75" customHeight="1" x14ac:dyDescent="0.25">
      <c r="A50" s="473" t="s">
        <v>380</v>
      </c>
      <c r="B50" s="469" t="s">
        <v>112</v>
      </c>
      <c r="C50" s="165">
        <f>+'2. önkorm.bevkiad'!C50+'3-10 önálló int.be-ki.'!EA47</f>
        <v>237911000</v>
      </c>
      <c r="D50" s="165">
        <f>+'2. önkorm.bevkiad'!D50+'3-10 önálló int.be-ki.'!EB47</f>
        <v>237911000</v>
      </c>
      <c r="E50" s="165">
        <f>+'2. önkorm.bevkiad'!E50+'3-10 önálló int.be-ki.'!EC47</f>
        <v>287344000</v>
      </c>
      <c r="F50" s="165">
        <f>+'2. önkorm.bevkiad'!F50+'3-10 önálló int.be-ki.'!ED47</f>
        <v>242244000</v>
      </c>
      <c r="G50" s="165">
        <f>+'2. önkorm.bevkiad'!G50+'3-10 önálló int.be-ki.'!EE47</f>
        <v>33500000</v>
      </c>
      <c r="H50" s="165">
        <f>+'2. önkorm.bevkiad'!H50+'3-10 önálló int.be-ki.'!EF47</f>
        <v>35100000</v>
      </c>
      <c r="I50" s="165">
        <f>+'2. önkorm.bevkiad'!I50+'3-10 önálló int.be-ki.'!EG47</f>
        <v>1405000</v>
      </c>
      <c r="J50" s="165">
        <f>+'2. önkorm.bevkiad'!J50+'3-10 önálló int.be-ki.'!EH47</f>
        <v>45100000</v>
      </c>
      <c r="K50" s="470">
        <f>+'2. önkorm.bevkiad'!K50+'3-10 önálló int.be-ki.'!EI47</f>
        <v>0</v>
      </c>
      <c r="L50" s="470">
        <f>+'2. önkorm.bevkiad'!L50+'3-10 önálló int.be-ki.'!EJ47</f>
        <v>0</v>
      </c>
      <c r="M50" s="471">
        <f>+'2. önkorm.bevkiad'!M50+'3-10 önálló int.be-ki.'!EK47</f>
        <v>271411000</v>
      </c>
      <c r="N50" s="471">
        <f>+'2. önkorm.bevkiad'!N50+'3-10 önálló int.be-ki.'!EL47</f>
        <v>273011000</v>
      </c>
      <c r="O50" s="471">
        <f>+'2. önkorm.bevkiad'!O50+'3-10 önálló int.be-ki.'!EM47</f>
        <v>288749000</v>
      </c>
      <c r="P50" s="471">
        <f>+'2. önkorm.bevkiad'!P50+'3-10 önálló int.be-ki.'!EN47</f>
        <v>287344000</v>
      </c>
      <c r="Q50" s="257">
        <v>253902</v>
      </c>
      <c r="R50" s="257">
        <v>228593</v>
      </c>
    </row>
    <row r="51" spans="1:18" ht="12.75" customHeight="1" x14ac:dyDescent="0.25">
      <c r="A51" s="291" t="s">
        <v>106</v>
      </c>
      <c r="B51" s="283" t="s">
        <v>9</v>
      </c>
      <c r="C51" s="29">
        <f>+'2. önkorm.bevkiad'!C51+'3-10 önálló int.be-ki.'!EA48</f>
        <v>114000000</v>
      </c>
      <c r="D51" s="29">
        <f>+'2. önkorm.bevkiad'!D51+'3-10 önálló int.be-ki.'!EB48</f>
        <v>94689720</v>
      </c>
      <c r="E51" s="29">
        <f>+'2. önkorm.bevkiad'!E51+'3-10 önálló int.be-ki.'!EC48</f>
        <v>36044320</v>
      </c>
      <c r="F51" s="29">
        <f>+'2. önkorm.bevkiad'!F51+'3-10 önálló int.be-ki.'!ED48</f>
        <v>36044320</v>
      </c>
      <c r="G51" s="29">
        <f>+'2. önkorm.bevkiad'!G51+'3-10 önálló int.be-ki.'!EE48</f>
        <v>0</v>
      </c>
      <c r="H51" s="29">
        <f>+'2. önkorm.bevkiad'!H51+'3-10 önálló int.be-ki.'!EF48</f>
        <v>0</v>
      </c>
      <c r="I51" s="29">
        <f>+'2. önkorm.bevkiad'!I51+'3-10 önálló int.be-ki.'!EG48</f>
        <v>0</v>
      </c>
      <c r="J51" s="29">
        <f>+'2. önkorm.bevkiad'!J51+'3-10 önálló int.be-ki.'!EH48</f>
        <v>0</v>
      </c>
      <c r="K51" s="284">
        <f>+'2. önkorm.bevkiad'!K51+'3-10 önálló int.be-ki.'!EI48</f>
        <v>0</v>
      </c>
      <c r="L51" s="284">
        <f>+'2. önkorm.bevkiad'!L51+'3-10 önálló int.be-ki.'!EJ48</f>
        <v>0</v>
      </c>
      <c r="M51" s="285">
        <f>+'2. önkorm.bevkiad'!M51+'3-10 önálló int.be-ki.'!EK48</f>
        <v>114000000</v>
      </c>
      <c r="N51" s="285">
        <f>+'2. önkorm.bevkiad'!N51+'3-10 önálló int.be-ki.'!EL48</f>
        <v>94689720</v>
      </c>
      <c r="O51" s="285">
        <f>+'2. önkorm.bevkiad'!O51+'3-10 önálló int.be-ki.'!EM48</f>
        <v>36044320</v>
      </c>
      <c r="P51" s="285">
        <f>+'2. önkorm.bevkiad'!P51+'3-10 önálló int.be-ki.'!EN48</f>
        <v>36044320</v>
      </c>
      <c r="Q51" s="313">
        <v>0</v>
      </c>
      <c r="R51" s="312">
        <v>0</v>
      </c>
    </row>
    <row r="52" spans="1:18" s="472" customFormat="1" ht="12.75" customHeight="1" x14ac:dyDescent="0.25">
      <c r="A52" s="473"/>
      <c r="B52" s="469" t="s">
        <v>276</v>
      </c>
      <c r="C52" s="165">
        <f>+'2. önkorm.bevkiad'!C52+'3-10 önálló int.be-ki.'!EA49</f>
        <v>87000000</v>
      </c>
      <c r="D52" s="165">
        <f>+'2. önkorm.bevkiad'!D52+'3-10 önálló int.be-ki.'!EB49</f>
        <v>64886220</v>
      </c>
      <c r="E52" s="165">
        <f>+'2. önkorm.bevkiad'!E52+'3-10 önálló int.be-ki.'!EC49</f>
        <v>64886000</v>
      </c>
      <c r="F52" s="165">
        <f>+'2. önkorm.bevkiad'!F52+'3-10 önálló int.be-ki.'!ED49</f>
        <v>25044320</v>
      </c>
      <c r="G52" s="165">
        <f>+'2. önkorm.bevkiad'!G52+'3-10 önálló int.be-ki.'!EE49</f>
        <v>0</v>
      </c>
      <c r="H52" s="165">
        <f>+'2. önkorm.bevkiad'!H52+'3-10 önálló int.be-ki.'!EF49</f>
        <v>0</v>
      </c>
      <c r="I52" s="165">
        <f>+'2. önkorm.bevkiad'!I52+'3-10 önálló int.be-ki.'!EG49</f>
        <v>0</v>
      </c>
      <c r="J52" s="165">
        <f>+'2. önkorm.bevkiad'!J52+'3-10 önálló int.be-ki.'!EH49</f>
        <v>0</v>
      </c>
      <c r="K52" s="470">
        <f>+'2. önkorm.bevkiad'!K52+'3-10 önálló int.be-ki.'!EI49</f>
        <v>0</v>
      </c>
      <c r="L52" s="470">
        <f>+'2. önkorm.bevkiad'!L52+'3-10 önálló int.be-ki.'!EJ49</f>
        <v>0</v>
      </c>
      <c r="M52" s="471">
        <f>+'2. önkorm.bevkiad'!M52+'3-10 önálló int.be-ki.'!EK49</f>
        <v>87000000</v>
      </c>
      <c r="N52" s="471">
        <f>+'2. önkorm.bevkiad'!N52+'3-10 önálló int.be-ki.'!EL49</f>
        <v>64886220</v>
      </c>
      <c r="O52" s="471">
        <f>+'2. önkorm.bevkiad'!O52+'3-10 önálló int.be-ki.'!EM49</f>
        <v>64886000</v>
      </c>
      <c r="P52" s="471">
        <f>+'2. önkorm.bevkiad'!P52+'3-10 önálló int.be-ki.'!EN49</f>
        <v>25044320</v>
      </c>
      <c r="Q52" s="257">
        <v>0</v>
      </c>
      <c r="R52" s="257">
        <v>0</v>
      </c>
    </row>
    <row r="53" spans="1:18" s="180" customFormat="1" ht="12.75" customHeight="1" x14ac:dyDescent="0.25">
      <c r="A53" s="474" t="s">
        <v>13</v>
      </c>
      <c r="B53" s="287" t="s">
        <v>113</v>
      </c>
      <c r="C53" s="285">
        <f>+'2. önkorm.bevkiad'!C53+'3-10 önálló int.be-ki.'!EA50</f>
        <v>1586753000</v>
      </c>
      <c r="D53" s="285">
        <f>+'2. önkorm.bevkiad'!D53+'3-10 önálló int.be-ki.'!EB50</f>
        <v>996276350</v>
      </c>
      <c r="E53" s="285">
        <f>+'2. önkorm.bevkiad'!E53+'3-10 önálló int.be-ki.'!EC50</f>
        <v>620555700</v>
      </c>
      <c r="F53" s="285">
        <f>+'2. önkorm.bevkiad'!F53+'3-10 önálló int.be-ki.'!ED50</f>
        <v>1180872163</v>
      </c>
      <c r="G53" s="285">
        <f>+'2. önkorm.bevkiad'!G53+'3-10 önálló int.be-ki.'!EE50</f>
        <v>0</v>
      </c>
      <c r="H53" s="285">
        <f>+'2. önkorm.bevkiad'!H53+'3-10 önálló int.be-ki.'!EF50</f>
        <v>0</v>
      </c>
      <c r="I53" s="285">
        <f>+'2. önkorm.bevkiad'!I53+'3-10 önálló int.be-ki.'!EG50</f>
        <v>0</v>
      </c>
      <c r="J53" s="285">
        <f>+'2. önkorm.bevkiad'!J53+'3-10 önálló int.be-ki.'!EH50</f>
        <v>0</v>
      </c>
      <c r="K53" s="285">
        <f>+'2. önkorm.bevkiad'!K53+'3-10 önálló int.be-ki.'!EI50</f>
        <v>0</v>
      </c>
      <c r="L53" s="285">
        <f>+'2. önkorm.bevkiad'!L53+'3-10 önálló int.be-ki.'!EJ50</f>
        <v>0</v>
      </c>
      <c r="M53" s="285">
        <f>+'2. önkorm.bevkiad'!M53+'3-10 önálló int.be-ki.'!EK50</f>
        <v>1586753000</v>
      </c>
      <c r="N53" s="285">
        <f>+'2. önkorm.bevkiad'!N53+'3-10 önálló int.be-ki.'!EL50</f>
        <v>996276350</v>
      </c>
      <c r="O53" s="285">
        <f>+'2. önkorm.bevkiad'!O53+'3-10 önálló int.be-ki.'!EM50</f>
        <v>626905700</v>
      </c>
      <c r="P53" s="285">
        <f>+'2. önkorm.bevkiad'!P53+'3-10 önálló int.be-ki.'!EN50</f>
        <v>1180872163</v>
      </c>
      <c r="Q53" s="257">
        <f>+Q54+Q55+Q56</f>
        <v>878149</v>
      </c>
      <c r="R53" s="258">
        <v>826719</v>
      </c>
    </row>
    <row r="54" spans="1:18" ht="12.75" customHeight="1" x14ac:dyDescent="0.25">
      <c r="A54" s="291" t="s">
        <v>54</v>
      </c>
      <c r="B54" s="283" t="s">
        <v>10</v>
      </c>
      <c r="C54" s="284">
        <f>+'2. önkorm.bevkiad'!C54+'3-10 önálló int.be-ki.'!EA51</f>
        <v>1461753000</v>
      </c>
      <c r="D54" s="284">
        <f>+'2. önkorm.bevkiad'!D54+'3-10 önálló int.be-ki.'!EB51</f>
        <v>802761350</v>
      </c>
      <c r="E54" s="284">
        <f>+'2. önkorm.bevkiad'!E54+'3-10 önálló int.be-ki.'!EC51</f>
        <v>551939700</v>
      </c>
      <c r="F54" s="284">
        <f>+'2. önkorm.bevkiad'!F54+'3-10 önálló int.be-ki.'!ED51</f>
        <v>1032358163</v>
      </c>
      <c r="G54" s="284">
        <f>+'2. önkorm.bevkiad'!G54+'3-10 önálló int.be-ki.'!EE51</f>
        <v>0</v>
      </c>
      <c r="H54" s="284">
        <f>+'2. önkorm.bevkiad'!H54+'3-10 önálló int.be-ki.'!EF51</f>
        <v>0</v>
      </c>
      <c r="I54" s="284">
        <f>+'2. önkorm.bevkiad'!I54+'3-10 önálló int.be-ki.'!EG51</f>
        <v>0</v>
      </c>
      <c r="J54" s="284">
        <f>+'2. önkorm.bevkiad'!J54+'3-10 önálló int.be-ki.'!EH51</f>
        <v>0</v>
      </c>
      <c r="K54" s="284">
        <f>+'2. önkorm.bevkiad'!K54+'3-10 önálló int.be-ki.'!EI51</f>
        <v>0</v>
      </c>
      <c r="L54" s="284">
        <f>+'2. önkorm.bevkiad'!L54+'3-10 önálló int.be-ki.'!EJ51</f>
        <v>0</v>
      </c>
      <c r="M54" s="285">
        <f>+'2. önkorm.bevkiad'!M54+'3-10 önálló int.be-ki.'!EK51</f>
        <v>1461753000</v>
      </c>
      <c r="N54" s="285">
        <f>+'2. önkorm.bevkiad'!N54+'3-10 önálló int.be-ki.'!EL51</f>
        <v>802761350</v>
      </c>
      <c r="O54" s="285">
        <f>+'2. önkorm.bevkiad'!O54+'3-10 önálló int.be-ki.'!EM51</f>
        <v>558289700</v>
      </c>
      <c r="P54" s="285">
        <f>+'2. önkorm.bevkiad'!P54+'3-10 önálló int.be-ki.'!EN51</f>
        <v>1032358163</v>
      </c>
      <c r="Q54" s="257">
        <v>684753</v>
      </c>
      <c r="R54" s="257">
        <v>443164</v>
      </c>
    </row>
    <row r="55" spans="1:18" ht="12.75" customHeight="1" x14ac:dyDescent="0.25">
      <c r="A55" s="291" t="s">
        <v>55</v>
      </c>
      <c r="B55" s="283" t="s">
        <v>11</v>
      </c>
      <c r="C55" s="284">
        <f>+'2. önkorm.bevkiad'!C55+'3-10 önálló int.be-ki.'!EA52</f>
        <v>125000000</v>
      </c>
      <c r="D55" s="284">
        <f>+'2. önkorm.bevkiad'!D55+'3-10 önálló int.be-ki.'!EB52</f>
        <v>193515000</v>
      </c>
      <c r="E55" s="284">
        <f>+'2. önkorm.bevkiad'!E55+'3-10 önálló int.be-ki.'!EC52</f>
        <v>68616000</v>
      </c>
      <c r="F55" s="284">
        <f>+'2. önkorm.bevkiad'!F55+'3-10 önálló int.be-ki.'!ED52</f>
        <v>148514000</v>
      </c>
      <c r="G55" s="284">
        <f>+'2. önkorm.bevkiad'!G55+'3-10 önálló int.be-ki.'!EE52</f>
        <v>0</v>
      </c>
      <c r="H55" s="284">
        <f>+'2. önkorm.bevkiad'!H55+'3-10 önálló int.be-ki.'!EF52</f>
        <v>0</v>
      </c>
      <c r="I55" s="284">
        <f>+'2. önkorm.bevkiad'!I55+'3-10 önálló int.be-ki.'!EG52</f>
        <v>0</v>
      </c>
      <c r="J55" s="284">
        <f>+'2. önkorm.bevkiad'!J55+'3-10 önálló int.be-ki.'!EH52</f>
        <v>0</v>
      </c>
      <c r="K55" s="284">
        <f>+'2. önkorm.bevkiad'!K55+'3-10 önálló int.be-ki.'!EI52</f>
        <v>0</v>
      </c>
      <c r="L55" s="284">
        <f>+'2. önkorm.bevkiad'!L55+'3-10 önálló int.be-ki.'!EJ52</f>
        <v>0</v>
      </c>
      <c r="M55" s="285">
        <f>+'2. önkorm.bevkiad'!M55+'3-10 önálló int.be-ki.'!EK52</f>
        <v>125000000</v>
      </c>
      <c r="N55" s="285">
        <f>+'2. önkorm.bevkiad'!N55+'3-10 önálló int.be-ki.'!EL52</f>
        <v>193515000</v>
      </c>
      <c r="O55" s="285">
        <f>+'2. önkorm.bevkiad'!O55+'3-10 önálló int.be-ki.'!EM52</f>
        <v>68616000</v>
      </c>
      <c r="P55" s="285">
        <f>+'2. önkorm.bevkiad'!P55+'3-10 önálló int.be-ki.'!EN52</f>
        <v>148514000</v>
      </c>
      <c r="Q55" s="257">
        <v>193396</v>
      </c>
      <c r="R55" s="312">
        <v>360407</v>
      </c>
    </row>
    <row r="56" spans="1:18" ht="12.75" customHeight="1" x14ac:dyDescent="0.25">
      <c r="A56" s="291" t="s">
        <v>64</v>
      </c>
      <c r="B56" s="283" t="s">
        <v>114</v>
      </c>
      <c r="C56" s="284">
        <f>+'2. önkorm.bevkiad'!C56+'3-10 önálló int.be-ki.'!EA53</f>
        <v>0</v>
      </c>
      <c r="D56" s="284">
        <f>+'2. önkorm.bevkiad'!D56+'3-10 önálló int.be-ki.'!EB53</f>
        <v>0</v>
      </c>
      <c r="E56" s="284">
        <f>+'2. önkorm.bevkiad'!E56+'3-10 önálló int.be-ki.'!EC53</f>
        <v>0</v>
      </c>
      <c r="F56" s="284">
        <f>+'2. önkorm.bevkiad'!F56+'3-10 önálló int.be-ki.'!ED53</f>
        <v>0</v>
      </c>
      <c r="G56" s="284">
        <f>+'2. önkorm.bevkiad'!G56+'3-10 önálló int.be-ki.'!EE53</f>
        <v>0</v>
      </c>
      <c r="H56" s="284">
        <f>+'2. önkorm.bevkiad'!H56+'3-10 önálló int.be-ki.'!EF53</f>
        <v>0</v>
      </c>
      <c r="I56" s="284">
        <f>+'2. önkorm.bevkiad'!I56+'3-10 önálló int.be-ki.'!EG53</f>
        <v>0</v>
      </c>
      <c r="J56" s="284">
        <f>+'2. önkorm.bevkiad'!J56+'3-10 önálló int.be-ki.'!EH53</f>
        <v>0</v>
      </c>
      <c r="K56" s="284">
        <f>+'2. önkorm.bevkiad'!K56+'3-10 önálló int.be-ki.'!EI53</f>
        <v>0</v>
      </c>
      <c r="L56" s="284">
        <f>+'2. önkorm.bevkiad'!L56+'3-10 önálló int.be-ki.'!EJ53</f>
        <v>0</v>
      </c>
      <c r="M56" s="285">
        <f>+'2. önkorm.bevkiad'!M56+'3-10 önálló int.be-ki.'!EK53</f>
        <v>0</v>
      </c>
      <c r="N56" s="285">
        <f>+'2. önkorm.bevkiad'!N56+'3-10 önálló int.be-ki.'!EL53</f>
        <v>0</v>
      </c>
      <c r="O56" s="285">
        <f>+'2. önkorm.bevkiad'!O56+'3-10 önálló int.be-ki.'!EM53</f>
        <v>0</v>
      </c>
      <c r="P56" s="285">
        <f>+'2. önkorm.bevkiad'!P56+'3-10 önálló int.be-ki.'!EN53</f>
        <v>0</v>
      </c>
      <c r="Q56" s="257">
        <v>0</v>
      </c>
      <c r="R56" s="312">
        <v>23148</v>
      </c>
    </row>
    <row r="57" spans="1:18" ht="12.75" customHeight="1" x14ac:dyDescent="0.25">
      <c r="A57" s="291" t="s">
        <v>14</v>
      </c>
      <c r="B57" s="287" t="s">
        <v>115</v>
      </c>
      <c r="C57" s="284">
        <f>+'2. önkorm.bevkiad'!C57+'3-10 önálló int.be-ki.'!EA54</f>
        <v>3852496000</v>
      </c>
      <c r="D57" s="284">
        <f>+'2. önkorm.bevkiad'!D57+'3-10 önálló int.be-ki.'!EB54</f>
        <v>3296407234</v>
      </c>
      <c r="E57" s="284">
        <f>+'2. önkorm.bevkiad'!E57+'3-10 önálló int.be-ki.'!EC54</f>
        <v>3037266178</v>
      </c>
      <c r="F57" s="284">
        <f>+'2. önkorm.bevkiad'!F57+'3-10 önálló int.be-ki.'!ED54</f>
        <v>3578456363</v>
      </c>
      <c r="G57" s="284">
        <f>+'2. önkorm.bevkiad'!G57+'3-10 önálló int.be-ki.'!EE54</f>
        <v>99856000</v>
      </c>
      <c r="H57" s="284">
        <f>+'2. önkorm.bevkiad'!H57+'3-10 önálló int.be-ki.'!EF54</f>
        <v>98379608</v>
      </c>
      <c r="I57" s="284">
        <f>+'2. önkorm.bevkiad'!I57+'3-10 önálló int.be-ki.'!EG54</f>
        <v>25420608</v>
      </c>
      <c r="J57" s="284">
        <f>+'2. önkorm.bevkiad'!J57+'3-10 önálló int.be-ki.'!EH54</f>
        <v>88561708</v>
      </c>
      <c r="K57" s="284">
        <f>+'2. önkorm.bevkiad'!K57+'3-10 önálló int.be-ki.'!EI54</f>
        <v>0</v>
      </c>
      <c r="L57" s="284">
        <f>+'2. önkorm.bevkiad'!L57+'3-10 önálló int.be-ki.'!EJ54</f>
        <v>0</v>
      </c>
      <c r="M57" s="285">
        <f>+'2. önkorm.bevkiad'!M57+'3-10 önálló int.be-ki.'!EK54</f>
        <v>3952352000</v>
      </c>
      <c r="N57" s="285">
        <f>+'2. önkorm.bevkiad'!N57+'3-10 önálló int.be-ki.'!EL54</f>
        <v>3394786842</v>
      </c>
      <c r="O57" s="285">
        <f>+'2. önkorm.bevkiad'!O57+'3-10 önálló int.be-ki.'!EM54</f>
        <v>3455656786</v>
      </c>
      <c r="P57" s="285">
        <f>+'2. önkorm.bevkiad'!P57+'3-10 önálló int.be-ki.'!EN54</f>
        <v>3667018071</v>
      </c>
      <c r="Q57" s="257">
        <f>Q41+Q53</f>
        <v>3153592</v>
      </c>
      <c r="R57" s="258">
        <f>R41+R53</f>
        <v>2770468</v>
      </c>
    </row>
    <row r="58" spans="1:18" ht="12.75" customHeight="1" x14ac:dyDescent="0.25">
      <c r="A58" s="282" t="s">
        <v>15</v>
      </c>
      <c r="B58" s="19" t="s">
        <v>428</v>
      </c>
      <c r="C58" s="284">
        <f>+'2. önkorm.bevkiad'!C58+'3-10 önálló int.be-ki.'!EA55</f>
        <v>61368000</v>
      </c>
      <c r="D58" s="284">
        <f>+'2. önkorm.bevkiad'!D58+'3-10 önálló int.be-ki.'!EB55</f>
        <v>46152000</v>
      </c>
      <c r="E58" s="284">
        <f>+'2. önkorm.bevkiad'!E58+'3-10 önálló int.be-ki.'!EC55</f>
        <v>46152000</v>
      </c>
      <c r="F58" s="284">
        <f>+'2. önkorm.bevkiad'!F58+'3-10 önálló int.be-ki.'!ED55</f>
        <v>46152000</v>
      </c>
      <c r="G58" s="284">
        <f>+'2. önkorm.bevkiad'!G58+'3-10 önálló int.be-ki.'!EE55</f>
        <v>0</v>
      </c>
      <c r="H58" s="284">
        <f>+'2. önkorm.bevkiad'!H58+'3-10 önálló int.be-ki.'!EF55</f>
        <v>0</v>
      </c>
      <c r="I58" s="284">
        <f>+'2. önkorm.bevkiad'!I58+'3-10 önálló int.be-ki.'!EG55</f>
        <v>0</v>
      </c>
      <c r="J58" s="284">
        <f>+'2. önkorm.bevkiad'!J58+'3-10 önálló int.be-ki.'!EH55</f>
        <v>0</v>
      </c>
      <c r="K58" s="284">
        <f>+'2. önkorm.bevkiad'!K58+'3-10 önálló int.be-ki.'!EI55</f>
        <v>0</v>
      </c>
      <c r="L58" s="284">
        <f>+'2. önkorm.bevkiad'!L58+'3-10 önálló int.be-ki.'!EJ55</f>
        <v>0</v>
      </c>
      <c r="M58" s="285">
        <f>+'2. önkorm.bevkiad'!M58+'3-10 önálló int.be-ki.'!EK55</f>
        <v>61368000</v>
      </c>
      <c r="N58" s="285">
        <f>+'2. önkorm.bevkiad'!N58+'3-10 önálló int.be-ki.'!EL55</f>
        <v>46152000</v>
      </c>
      <c r="O58" s="285">
        <f>+'2. önkorm.bevkiad'!O58+'3-10 önálló int.be-ki.'!EM55</f>
        <v>46152000</v>
      </c>
      <c r="P58" s="285">
        <f>+'2. önkorm.bevkiad'!P58+'3-10 önálló int.be-ki.'!EN55</f>
        <v>46152000</v>
      </c>
      <c r="Q58" s="313">
        <v>46152</v>
      </c>
      <c r="R58" s="312"/>
    </row>
    <row r="59" spans="1:18" s="181" customFormat="1" ht="12.75" customHeight="1" x14ac:dyDescent="0.25">
      <c r="A59" s="282"/>
      <c r="B59" s="19" t="s">
        <v>429</v>
      </c>
      <c r="C59" s="284">
        <f>+'2. önkorm.bevkiad'!C59+'3-10 önálló int.be-ki.'!EA56</f>
        <v>0</v>
      </c>
      <c r="D59" s="289">
        <f>+'2. önkorm.bevkiad'!D59+'3-10 önálló int.be-ki.'!EB56</f>
        <v>300000000</v>
      </c>
      <c r="E59" s="289">
        <f>+'2. önkorm.bevkiad'!E59+'3-10 önálló int.be-ki.'!EC56</f>
        <v>300000000</v>
      </c>
      <c r="F59" s="289">
        <f>+'2. önkorm.bevkiad'!F59+'3-10 önálló int.be-ki.'!ED56</f>
        <v>300000000</v>
      </c>
      <c r="G59" s="284">
        <f>+'2. önkorm.bevkiad'!G59+'3-10 önálló int.be-ki.'!EE56</f>
        <v>0</v>
      </c>
      <c r="H59" s="284">
        <f>+'2. önkorm.bevkiad'!H59+'3-10 önálló int.be-ki.'!EF56</f>
        <v>0</v>
      </c>
      <c r="I59" s="284">
        <f>+'2. önkorm.bevkiad'!I59+'3-10 önálló int.be-ki.'!EG56</f>
        <v>0</v>
      </c>
      <c r="J59" s="284">
        <f>+'2. önkorm.bevkiad'!J59+'3-10 önálló int.be-ki.'!EH56</f>
        <v>0</v>
      </c>
      <c r="K59" s="284">
        <f>+'2. önkorm.bevkiad'!K59+'3-10 önálló int.be-ki.'!EI56</f>
        <v>0</v>
      </c>
      <c r="L59" s="284">
        <f>+'2. önkorm.bevkiad'!L59+'3-10 önálló int.be-ki.'!EJ56</f>
        <v>0</v>
      </c>
      <c r="M59" s="285">
        <f>+'2. önkorm.bevkiad'!M59+'3-10 önálló int.be-ki.'!EK56</f>
        <v>0</v>
      </c>
      <c r="N59" s="285">
        <f>+'2. önkorm.bevkiad'!N59+'3-10 önálló int.be-ki.'!EL56</f>
        <v>300000000</v>
      </c>
      <c r="O59" s="285">
        <f>+'2. önkorm.bevkiad'!O59+'3-10 önálló int.be-ki.'!EM56</f>
        <v>300000000</v>
      </c>
      <c r="P59" s="285">
        <f>+'2. önkorm.bevkiad'!P59+'3-10 önálló int.be-ki.'!EN56</f>
        <v>300000000</v>
      </c>
      <c r="Q59" s="313"/>
      <c r="R59" s="312"/>
    </row>
    <row r="60" spans="1:18" ht="12.75" customHeight="1" x14ac:dyDescent="0.25">
      <c r="A60" s="282" t="s">
        <v>16</v>
      </c>
      <c r="B60" s="19" t="s">
        <v>350</v>
      </c>
      <c r="C60" s="284">
        <f>+'2. önkorm.bevkiad'!C60+'3-10 önálló int.be-ki.'!EA57</f>
        <v>32301000</v>
      </c>
      <c r="D60" s="289">
        <f>+'2. önkorm.bevkiad'!D60+'3-10 önálló int.be-ki.'!EB57</f>
        <v>32462142</v>
      </c>
      <c r="E60" s="289">
        <f>+'2. önkorm.bevkiad'!E60+'3-10 önálló int.be-ki.'!EC57</f>
        <v>32462142</v>
      </c>
      <c r="F60" s="289">
        <f>+'2. önkorm.bevkiad'!F60+'3-10 önálló int.be-ki.'!ED57</f>
        <v>32462142</v>
      </c>
      <c r="G60" s="284">
        <f>+'2. önkorm.bevkiad'!G60+'3-10 önálló int.be-ki.'!EE57</f>
        <v>0</v>
      </c>
      <c r="H60" s="284">
        <f>+'2. önkorm.bevkiad'!H60+'3-10 önálló int.be-ki.'!EF57</f>
        <v>0</v>
      </c>
      <c r="I60" s="284">
        <f>+'2. önkorm.bevkiad'!I60+'3-10 önálló int.be-ki.'!EG57</f>
        <v>0</v>
      </c>
      <c r="J60" s="284">
        <f>+'2. önkorm.bevkiad'!J60+'3-10 önálló int.be-ki.'!EH57</f>
        <v>0</v>
      </c>
      <c r="K60" s="284">
        <f>+'2. önkorm.bevkiad'!K60+'3-10 önálló int.be-ki.'!EI57</f>
        <v>0</v>
      </c>
      <c r="L60" s="284">
        <f>+'2. önkorm.bevkiad'!L60+'3-10 önálló int.be-ki.'!EJ57</f>
        <v>0</v>
      </c>
      <c r="M60" s="285">
        <f>+'2. önkorm.bevkiad'!M60+'3-10 önálló int.be-ki.'!EK57</f>
        <v>32301000</v>
      </c>
      <c r="N60" s="285">
        <f>+'2. önkorm.bevkiad'!N60+'3-10 önálló int.be-ki.'!EL57</f>
        <v>32462142</v>
      </c>
      <c r="O60" s="285">
        <f>+'2. önkorm.bevkiad'!O60+'3-10 önálló int.be-ki.'!EM57</f>
        <v>32462142</v>
      </c>
      <c r="P60" s="285">
        <f>+'2. önkorm.bevkiad'!P60+'3-10 önálló int.be-ki.'!EN57</f>
        <v>32462142</v>
      </c>
      <c r="Q60" s="313">
        <v>28758</v>
      </c>
      <c r="R60" s="257">
        <v>24696</v>
      </c>
    </row>
    <row r="61" spans="1:18" ht="12.75" customHeight="1" x14ac:dyDescent="0.25">
      <c r="A61" s="282" t="s">
        <v>17</v>
      </c>
      <c r="B61" s="283" t="s">
        <v>117</v>
      </c>
      <c r="C61" s="284">
        <f>+'2. önkorm.bevkiad'!C61+'3-10 önálló int.be-ki.'!EA58</f>
        <v>1080936000</v>
      </c>
      <c r="D61" s="289">
        <f>+'2. önkorm.bevkiad'!D61+'3-10 önálló int.be-ki.'!EB58</f>
        <v>1070381689</v>
      </c>
      <c r="E61" s="289">
        <f>+'2. önkorm.bevkiad'!E61+'3-10 önálló int.be-ki.'!EC58</f>
        <v>1492603000</v>
      </c>
      <c r="F61" s="289">
        <f>+'2. önkorm.bevkiad'!F61+'3-10 önálló int.be-ki.'!ED58</f>
        <v>1132289100</v>
      </c>
      <c r="G61" s="284">
        <f>+'2. önkorm.bevkiad'!G61+'3-10 önálló int.be-ki.'!EE58</f>
        <v>0</v>
      </c>
      <c r="H61" s="284">
        <f>+'2. önkorm.bevkiad'!H61+'3-10 önálló int.be-ki.'!EF58</f>
        <v>0</v>
      </c>
      <c r="I61" s="284">
        <f>+'2. önkorm.bevkiad'!I61+'3-10 önálló int.be-ki.'!EG58</f>
        <v>0</v>
      </c>
      <c r="J61" s="284">
        <f>+'2. önkorm.bevkiad'!J61+'3-10 önálló int.be-ki.'!EH58</f>
        <v>0</v>
      </c>
      <c r="K61" s="284">
        <f>+'2. önkorm.bevkiad'!K61+'3-10 önálló int.be-ki.'!EI58</f>
        <v>0</v>
      </c>
      <c r="L61" s="284">
        <f>+'2. önkorm.bevkiad'!L61+'3-10 önálló int.be-ki.'!EJ58</f>
        <v>0</v>
      </c>
      <c r="M61" s="285">
        <f>+'2. önkorm.bevkiad'!M61+'3-10 önálló int.be-ki.'!EK58</f>
        <v>1080936000</v>
      </c>
      <c r="N61" s="285">
        <f>+'2. önkorm.bevkiad'!N61+'3-10 önálló int.be-ki.'!EL58</f>
        <v>1070381689</v>
      </c>
      <c r="O61" s="285">
        <f>+'2. önkorm.bevkiad'!O61+'3-10 önálló int.be-ki.'!EM58</f>
        <v>1492603000</v>
      </c>
      <c r="P61" s="285">
        <f>+'2. önkorm.bevkiad'!P61+'3-10 önálló int.be-ki.'!EN58</f>
        <v>1132289100</v>
      </c>
      <c r="Q61" s="257">
        <v>951533</v>
      </c>
      <c r="R61" s="258">
        <v>850269</v>
      </c>
    </row>
    <row r="62" spans="1:18" ht="12.75" customHeight="1" x14ac:dyDescent="0.25">
      <c r="A62" s="282"/>
      <c r="B62" s="283" t="s">
        <v>239</v>
      </c>
      <c r="C62" s="284">
        <f>+'2. önkorm.bevkiad'!C62+'3-10 önálló int.be-ki.'!EA59</f>
        <v>1080936000</v>
      </c>
      <c r="D62" s="289">
        <f>+'2. önkorm.bevkiad'!D62+'3-10 önálló int.be-ki.'!EB59</f>
        <v>1070381689</v>
      </c>
      <c r="E62" s="289">
        <f>+'2. önkorm.bevkiad'!E62+'3-10 önálló int.be-ki.'!EC59</f>
        <v>1492603000</v>
      </c>
      <c r="F62" s="289">
        <f>+'2. önkorm.bevkiad'!F62+'3-10 önálló int.be-ki.'!ED59</f>
        <v>1132289100</v>
      </c>
      <c r="G62" s="284">
        <f>+'2. önkorm.bevkiad'!G62+'3-10 önálló int.be-ki.'!EE59</f>
        <v>0</v>
      </c>
      <c r="H62" s="284">
        <f>+'2. önkorm.bevkiad'!H62+'3-10 önálló int.be-ki.'!EF59</f>
        <v>0</v>
      </c>
      <c r="I62" s="284">
        <f>+'2. önkorm.bevkiad'!I62+'3-10 önálló int.be-ki.'!EG59</f>
        <v>0</v>
      </c>
      <c r="J62" s="284">
        <f>+'2. önkorm.bevkiad'!J62+'3-10 önálló int.be-ki.'!EH59</f>
        <v>0</v>
      </c>
      <c r="K62" s="284">
        <f>+'2. önkorm.bevkiad'!K62+'3-10 önálló int.be-ki.'!EI59</f>
        <v>0</v>
      </c>
      <c r="L62" s="284">
        <f>+'2. önkorm.bevkiad'!L62+'3-10 önálló int.be-ki.'!EJ59</f>
        <v>0</v>
      </c>
      <c r="M62" s="285">
        <f>+'2. önkorm.bevkiad'!M62+'3-10 önálló int.be-ki.'!EK59</f>
        <v>1080936000</v>
      </c>
      <c r="N62" s="285">
        <f>+'2. önkorm.bevkiad'!N62+'3-10 önálló int.be-ki.'!EL59</f>
        <v>1070381689</v>
      </c>
      <c r="O62" s="285">
        <f>+'2. önkorm.bevkiad'!O62+'3-10 önálló int.be-ki.'!EM59</f>
        <v>1492603000</v>
      </c>
      <c r="P62" s="285">
        <f>+'2. önkorm.bevkiad'!P62+'3-10 önálló int.be-ki.'!EN59</f>
        <v>1132289100</v>
      </c>
      <c r="Q62" s="257">
        <v>951533</v>
      </c>
      <c r="R62" s="311">
        <v>850269</v>
      </c>
    </row>
    <row r="63" spans="1:18" ht="12.75" customHeight="1" x14ac:dyDescent="0.25">
      <c r="A63" s="288"/>
      <c r="B63" s="283" t="s">
        <v>238</v>
      </c>
      <c r="C63" s="284">
        <f>+'2. önkorm.bevkiad'!C63+'3-10 önálló int.be-ki.'!EA60</f>
        <v>0</v>
      </c>
      <c r="D63" s="289">
        <f>+'2. önkorm.bevkiad'!D63+'3-10 önálló int.be-ki.'!EB60</f>
        <v>0</v>
      </c>
      <c r="E63" s="289">
        <f>+'2. önkorm.bevkiad'!E63+'3-10 önálló int.be-ki.'!EC60</f>
        <v>0</v>
      </c>
      <c r="F63" s="289">
        <f>+'2. önkorm.bevkiad'!F63+'3-10 önálló int.be-ki.'!ED60</f>
        <v>0</v>
      </c>
      <c r="G63" s="284">
        <f>+'2. önkorm.bevkiad'!G63+'3-10 önálló int.be-ki.'!EE60</f>
        <v>0</v>
      </c>
      <c r="H63" s="284">
        <f>+'2. önkorm.bevkiad'!H63+'3-10 önálló int.be-ki.'!EF60</f>
        <v>0</v>
      </c>
      <c r="I63" s="284">
        <f>+'2. önkorm.bevkiad'!I63+'3-10 önálló int.be-ki.'!EG60</f>
        <v>0</v>
      </c>
      <c r="J63" s="284">
        <f>+'2. önkorm.bevkiad'!J63+'3-10 önálló int.be-ki.'!EH60</f>
        <v>0</v>
      </c>
      <c r="K63" s="284">
        <f>+'2. önkorm.bevkiad'!K63+'3-10 önálló int.be-ki.'!EI60</f>
        <v>0</v>
      </c>
      <c r="L63" s="284">
        <f>+'2. önkorm.bevkiad'!L63+'3-10 önálló int.be-ki.'!EJ60</f>
        <v>0</v>
      </c>
      <c r="M63" s="285">
        <f>+'2. önkorm.bevkiad'!M63+'3-10 önálló int.be-ki.'!EK60</f>
        <v>0</v>
      </c>
      <c r="N63" s="285">
        <f>+'2. önkorm.bevkiad'!N63+'3-10 önálló int.be-ki.'!EL60</f>
        <v>0</v>
      </c>
      <c r="O63" s="285">
        <f>+'2. önkorm.bevkiad'!O63+'3-10 önálló int.be-ki.'!EM60</f>
        <v>0</v>
      </c>
      <c r="P63" s="285">
        <f>+'2. önkorm.bevkiad'!P63+'3-10 önálló int.be-ki.'!EN60</f>
        <v>0</v>
      </c>
      <c r="Q63" s="257"/>
      <c r="R63" s="257"/>
    </row>
    <row r="64" spans="1:18" ht="12.75" customHeight="1" x14ac:dyDescent="0.25">
      <c r="A64" s="282" t="s">
        <v>18</v>
      </c>
      <c r="B64" s="283" t="s">
        <v>119</v>
      </c>
      <c r="C64" s="284">
        <f>+'2. önkorm.bevkiad'!C64+'3-10 önálló int.be-ki.'!EA61</f>
        <v>0</v>
      </c>
      <c r="D64" s="289">
        <f>+'2. önkorm.bevkiad'!D64+'3-10 önálló int.be-ki.'!EB61</f>
        <v>0</v>
      </c>
      <c r="E64" s="289">
        <f>+'2. önkorm.bevkiad'!E64+'3-10 önálló int.be-ki.'!EC61</f>
        <v>0</v>
      </c>
      <c r="F64" s="289">
        <f>+'2. önkorm.bevkiad'!F64+'3-10 önálló int.be-ki.'!ED61</f>
        <v>0</v>
      </c>
      <c r="G64" s="284">
        <f>+'2. önkorm.bevkiad'!G64+'3-10 önálló int.be-ki.'!EE61</f>
        <v>0</v>
      </c>
      <c r="H64" s="284">
        <f>+'2. önkorm.bevkiad'!H64+'3-10 önálló int.be-ki.'!EF61</f>
        <v>0</v>
      </c>
      <c r="I64" s="284">
        <f>+'2. önkorm.bevkiad'!I64+'3-10 önálló int.be-ki.'!EG61</f>
        <v>0</v>
      </c>
      <c r="J64" s="284">
        <f>+'2. önkorm.bevkiad'!J64+'3-10 önálló int.be-ki.'!EH61</f>
        <v>0</v>
      </c>
      <c r="K64" s="284">
        <f>+'2. önkorm.bevkiad'!K64+'3-10 önálló int.be-ki.'!EI61</f>
        <v>0</v>
      </c>
      <c r="L64" s="284">
        <f>+'2. önkorm.bevkiad'!L64+'3-10 önálló int.be-ki.'!EJ61</f>
        <v>0</v>
      </c>
      <c r="M64" s="285">
        <f>+'2. önkorm.bevkiad'!M64+'3-10 önálló int.be-ki.'!EK61</f>
        <v>0</v>
      </c>
      <c r="N64" s="285">
        <f>+'2. önkorm.bevkiad'!N64+'3-10 önálló int.be-ki.'!EL61</f>
        <v>0</v>
      </c>
      <c r="O64" s="285">
        <f>+'2. önkorm.bevkiad'!O64+'3-10 önálló int.be-ki.'!EM61</f>
        <v>0</v>
      </c>
      <c r="P64" s="285">
        <f>+'2. önkorm.bevkiad'!P64+'3-10 önálló int.be-ki.'!EN61</f>
        <v>0</v>
      </c>
      <c r="Q64" s="313"/>
      <c r="R64" s="312"/>
    </row>
    <row r="65" spans="1:20" ht="12.75" customHeight="1" x14ac:dyDescent="0.25">
      <c r="A65" s="282" t="s">
        <v>19</v>
      </c>
      <c r="B65" s="287" t="s">
        <v>120</v>
      </c>
      <c r="C65" s="284">
        <f>+'2. önkorm.bevkiad'!C65+'3-10 önálló int.be-ki.'!EA62</f>
        <v>1174605000</v>
      </c>
      <c r="D65" s="289">
        <f>+'2. önkorm.bevkiad'!D65+'3-10 önálló int.be-ki.'!EB62</f>
        <v>1448995831</v>
      </c>
      <c r="E65" s="289">
        <f>+'2. önkorm.bevkiad'!E65+'3-10 önálló int.be-ki.'!EC62</f>
        <v>1871217142</v>
      </c>
      <c r="F65" s="289">
        <f>+'2. önkorm.bevkiad'!F65+'3-10 önálló int.be-ki.'!ED62</f>
        <v>1510903242</v>
      </c>
      <c r="G65" s="284">
        <f>+'2. önkorm.bevkiad'!G65+'3-10 önálló int.be-ki.'!EE62</f>
        <v>0</v>
      </c>
      <c r="H65" s="284">
        <f>+'2. önkorm.bevkiad'!H65+'3-10 önálló int.be-ki.'!EF62</f>
        <v>0</v>
      </c>
      <c r="I65" s="284">
        <f>+'2. önkorm.bevkiad'!I65+'3-10 önálló int.be-ki.'!EG62</f>
        <v>0</v>
      </c>
      <c r="J65" s="284">
        <f>+'2. önkorm.bevkiad'!J65+'3-10 önálló int.be-ki.'!EH62</f>
        <v>0</v>
      </c>
      <c r="K65" s="284">
        <f>+'2. önkorm.bevkiad'!K65+'3-10 önálló int.be-ki.'!EI62</f>
        <v>0</v>
      </c>
      <c r="L65" s="284">
        <f>+'2. önkorm.bevkiad'!L65+'3-10 önálló int.be-ki.'!EJ62</f>
        <v>0</v>
      </c>
      <c r="M65" s="285">
        <f>+'2. önkorm.bevkiad'!M65+'3-10 önálló int.be-ki.'!EK62</f>
        <v>1174605000</v>
      </c>
      <c r="N65" s="285">
        <f>+'2. önkorm.bevkiad'!N65+'3-10 önálló int.be-ki.'!EL62</f>
        <v>1448995831</v>
      </c>
      <c r="O65" s="285">
        <f>+'2. önkorm.bevkiad'!O65+'3-10 önálló int.be-ki.'!EM62</f>
        <v>1871217142</v>
      </c>
      <c r="P65" s="285">
        <f>+'2. önkorm.bevkiad'!P65+'3-10 önálló int.be-ki.'!EN62</f>
        <v>1510903242</v>
      </c>
      <c r="Q65" s="257">
        <f>+Q61</f>
        <v>951533</v>
      </c>
      <c r="R65" s="258">
        <v>874965</v>
      </c>
    </row>
    <row r="66" spans="1:20" ht="12.75" customHeight="1" x14ac:dyDescent="0.25">
      <c r="A66" s="282" t="s">
        <v>20</v>
      </c>
      <c r="B66" s="287" t="s">
        <v>121</v>
      </c>
      <c r="C66" s="284">
        <f>+'2. önkorm.bevkiad'!C66+'3-10 önálló int.be-ki.'!EA63</f>
        <v>5027101000</v>
      </c>
      <c r="D66" s="284">
        <f>+'2. önkorm.bevkiad'!D66+'3-10 önálló int.be-ki.'!EB63</f>
        <v>4745403065</v>
      </c>
      <c r="E66" s="284">
        <f>+'2. önkorm.bevkiad'!E66+'3-10 önálló int.be-ki.'!EC63</f>
        <v>4908483320</v>
      </c>
      <c r="F66" s="284">
        <f>+'2. önkorm.bevkiad'!F66+'3-10 önálló int.be-ki.'!ED63</f>
        <v>5089359605</v>
      </c>
      <c r="G66" s="284">
        <f>+'2. önkorm.bevkiad'!G66+'3-10 önálló int.be-ki.'!EE63</f>
        <v>99856000</v>
      </c>
      <c r="H66" s="284">
        <f>+'2. önkorm.bevkiad'!H66+'3-10 önálló int.be-ki.'!EF63</f>
        <v>98379608</v>
      </c>
      <c r="I66" s="284">
        <f>+'2. önkorm.bevkiad'!I66+'3-10 önálló int.be-ki.'!EG63</f>
        <v>25420608</v>
      </c>
      <c r="J66" s="284">
        <f>+'2. önkorm.bevkiad'!J66+'3-10 önálló int.be-ki.'!EH63</f>
        <v>88561708</v>
      </c>
      <c r="K66" s="284">
        <f>+'2. önkorm.bevkiad'!K66+'3-10 önálló int.be-ki.'!EI63</f>
        <v>0</v>
      </c>
      <c r="L66" s="284">
        <f>+'2. önkorm.bevkiad'!L66+'3-10 önálló int.be-ki.'!EJ63</f>
        <v>0</v>
      </c>
      <c r="M66" s="285">
        <f>+'2. önkorm.bevkiad'!M66+'3-10 önálló int.be-ki.'!EK63</f>
        <v>5126957000</v>
      </c>
      <c r="N66" s="285">
        <f>+'2. önkorm.bevkiad'!N66+'3-10 önálló int.be-ki.'!EL63</f>
        <v>4843782673</v>
      </c>
      <c r="O66" s="285">
        <f>+'2. önkorm.bevkiad'!O66+'3-10 önálló int.be-ki.'!EM63</f>
        <v>5326873928</v>
      </c>
      <c r="P66" s="285">
        <f>+'2. önkorm.bevkiad'!P66+'3-10 önálló int.be-ki.'!EN63</f>
        <v>5177921313</v>
      </c>
      <c r="Q66" s="257">
        <f>Q57+Q65</f>
        <v>4105125</v>
      </c>
      <c r="R66" s="258">
        <f>R57+R65</f>
        <v>3645433</v>
      </c>
      <c r="T66" s="14">
        <f>+L66+J66+F66</f>
        <v>5177921313</v>
      </c>
    </row>
    <row r="67" spans="1:20" ht="12.75" customHeight="1" x14ac:dyDescent="0.25">
      <c r="A67" s="282" t="s">
        <v>21</v>
      </c>
      <c r="B67" s="283" t="s">
        <v>122</v>
      </c>
      <c r="C67" s="284">
        <f>+C62</f>
        <v>1080936000</v>
      </c>
      <c r="D67" s="284">
        <f t="shared" ref="D67:P67" si="3">+D62</f>
        <v>1070381689</v>
      </c>
      <c r="E67" s="284">
        <f t="shared" si="3"/>
        <v>1492603000</v>
      </c>
      <c r="F67" s="284">
        <f>+F62</f>
        <v>1132289100</v>
      </c>
      <c r="G67" s="284">
        <f t="shared" si="3"/>
        <v>0</v>
      </c>
      <c r="H67" s="284">
        <f t="shared" si="3"/>
        <v>0</v>
      </c>
      <c r="I67" s="284">
        <f t="shared" si="3"/>
        <v>0</v>
      </c>
      <c r="J67" s="284">
        <f t="shared" si="3"/>
        <v>0</v>
      </c>
      <c r="K67" s="284">
        <f t="shared" si="3"/>
        <v>0</v>
      </c>
      <c r="L67" s="284">
        <f t="shared" si="3"/>
        <v>0</v>
      </c>
      <c r="M67" s="284">
        <f t="shared" si="3"/>
        <v>1080936000</v>
      </c>
      <c r="N67" s="284">
        <f t="shared" si="3"/>
        <v>1070381689</v>
      </c>
      <c r="O67" s="284">
        <f t="shared" si="3"/>
        <v>1492603000</v>
      </c>
      <c r="P67" s="284">
        <f t="shared" si="3"/>
        <v>1132289100</v>
      </c>
      <c r="Q67" s="257">
        <v>951533</v>
      </c>
      <c r="R67" s="257">
        <v>850269</v>
      </c>
    </row>
    <row r="68" spans="1:20" ht="12.75" customHeight="1" x14ac:dyDescent="0.25">
      <c r="A68" s="288" t="s">
        <v>22</v>
      </c>
      <c r="B68" s="283" t="s">
        <v>238</v>
      </c>
      <c r="C68" s="284">
        <v>0</v>
      </c>
      <c r="D68" s="284">
        <v>0</v>
      </c>
      <c r="E68" s="284">
        <v>0</v>
      </c>
      <c r="F68" s="284">
        <v>0</v>
      </c>
      <c r="G68" s="284">
        <v>0</v>
      </c>
      <c r="H68" s="284">
        <v>0</v>
      </c>
      <c r="I68" s="284">
        <v>0</v>
      </c>
      <c r="J68" s="284">
        <v>0</v>
      </c>
      <c r="K68" s="284">
        <v>0</v>
      </c>
      <c r="L68" s="284">
        <v>0</v>
      </c>
      <c r="M68" s="285">
        <v>0</v>
      </c>
      <c r="N68" s="285">
        <v>0</v>
      </c>
      <c r="O68" s="285">
        <v>0</v>
      </c>
      <c r="P68" s="285">
        <f>+'2. önkorm.bevkiad'!P68+'3-10 önálló int.be-ki.'!EN65</f>
        <v>0</v>
      </c>
      <c r="Q68" s="313"/>
      <c r="R68" s="312"/>
    </row>
    <row r="69" spans="1:20" x14ac:dyDescent="0.25">
      <c r="A69" s="286" t="s">
        <v>23</v>
      </c>
      <c r="B69" s="292" t="s">
        <v>71</v>
      </c>
      <c r="C69" s="285">
        <f>C66-C67-C68</f>
        <v>3946165000</v>
      </c>
      <c r="D69" s="285">
        <f t="shared" ref="D69:O69" si="4">D66-D67-D68</f>
        <v>3675021376</v>
      </c>
      <c r="E69" s="285">
        <f t="shared" si="4"/>
        <v>3415880320</v>
      </c>
      <c r="F69" s="285">
        <f t="shared" si="4"/>
        <v>3957070505</v>
      </c>
      <c r="G69" s="285">
        <f t="shared" si="4"/>
        <v>99856000</v>
      </c>
      <c r="H69" s="285">
        <f t="shared" si="4"/>
        <v>98379608</v>
      </c>
      <c r="I69" s="285">
        <f t="shared" si="4"/>
        <v>25420608</v>
      </c>
      <c r="J69" s="285">
        <f t="shared" si="4"/>
        <v>88561708</v>
      </c>
      <c r="K69" s="285">
        <f t="shared" si="4"/>
        <v>0</v>
      </c>
      <c r="L69" s="285">
        <f t="shared" si="4"/>
        <v>0</v>
      </c>
      <c r="M69" s="285">
        <f t="shared" si="4"/>
        <v>4046021000</v>
      </c>
      <c r="N69" s="285">
        <f t="shared" si="4"/>
        <v>3773400984</v>
      </c>
      <c r="O69" s="285">
        <f t="shared" si="4"/>
        <v>3834270928</v>
      </c>
      <c r="P69" s="285">
        <f>P66-P67-P68</f>
        <v>4045632213</v>
      </c>
      <c r="Q69" s="257">
        <f>Q66-Q67-Q68</f>
        <v>3153592</v>
      </c>
      <c r="R69" s="258">
        <f>R66-R67-R68</f>
        <v>2795164</v>
      </c>
    </row>
    <row r="70" spans="1:20" x14ac:dyDescent="0.25">
      <c r="C70" s="14">
        <f>+C69-C37</f>
        <v>0</v>
      </c>
      <c r="D70" s="14">
        <f>+D69-D37</f>
        <v>0</v>
      </c>
      <c r="E70" s="14">
        <f t="shared" ref="E70:F70" si="5">+E69-E37</f>
        <v>-58644680</v>
      </c>
      <c r="F70" s="14">
        <f t="shared" si="5"/>
        <v>0</v>
      </c>
      <c r="G70" s="14">
        <f t="shared" ref="G70:L70" si="6">+G69-G37</f>
        <v>0</v>
      </c>
      <c r="H70" s="14">
        <f t="shared" ref="H70:I70" si="7">+H69-H37</f>
        <v>286108</v>
      </c>
      <c r="I70" s="14">
        <f t="shared" si="7"/>
        <v>-72672892</v>
      </c>
      <c r="J70" s="14">
        <f t="shared" si="6"/>
        <v>0</v>
      </c>
      <c r="K70" s="14">
        <f t="shared" si="6"/>
        <v>0</v>
      </c>
      <c r="L70" s="14">
        <f t="shared" si="6"/>
        <v>0</v>
      </c>
      <c r="M70" s="14">
        <f>+M69-M37</f>
        <v>0</v>
      </c>
      <c r="N70" s="14">
        <f>+N69-N37</f>
        <v>286108</v>
      </c>
      <c r="O70" s="14">
        <f>+O69-O37</f>
        <v>253318428</v>
      </c>
      <c r="P70" s="14">
        <f>+P69-P37</f>
        <v>0</v>
      </c>
      <c r="Q70" s="14">
        <f>+Q69-Q37</f>
        <v>-444566</v>
      </c>
      <c r="R70" s="14">
        <f t="shared" ref="R70" si="8">+R69-R37</f>
        <v>-726037</v>
      </c>
    </row>
  </sheetData>
  <mergeCells count="3">
    <mergeCell ref="C1:J1"/>
    <mergeCell ref="C2:J2"/>
    <mergeCell ref="M1:P2"/>
  </mergeCells>
  <phoneticPr fontId="3" type="noConversion"/>
  <printOptions horizontalCentered="1"/>
  <pageMargins left="0.19685039370078741" right="0.15748031496062992" top="0.27559055118110237" bottom="0.94488188976377963" header="0.15748031496062992" footer="0.19685039370078741"/>
  <pageSetup paperSize="9" scale="64" fitToHeight="2" orientation="portrait" r:id="rId1"/>
  <headerFooter>
    <oddFooter>&amp;P. oldal, összesen: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44"/>
  <sheetViews>
    <sheetView view="pageBreakPreview" zoomScaleNormal="100" zoomScaleSheetLayoutView="100" workbookViewId="0">
      <selection activeCell="C5" sqref="C5"/>
    </sheetView>
  </sheetViews>
  <sheetFormatPr defaultColWidth="9.28515625" defaultRowHeight="15" x14ac:dyDescent="0.25"/>
  <cols>
    <col min="1" max="1" width="3.7109375" customWidth="1"/>
    <col min="2" max="2" width="34.42578125" customWidth="1"/>
    <col min="3" max="3" width="12" style="759" customWidth="1"/>
    <col min="4" max="16" width="8" customWidth="1"/>
    <col min="17" max="18" width="8.5703125" customWidth="1"/>
    <col min="20" max="20" width="10.28515625" bestFit="1" customWidth="1"/>
  </cols>
  <sheetData>
    <row r="1" spans="1:20" x14ac:dyDescent="0.25">
      <c r="A1" s="905" t="s">
        <v>74</v>
      </c>
      <c r="B1" s="905"/>
      <c r="C1" s="905"/>
      <c r="D1" s="905"/>
      <c r="E1" s="905"/>
      <c r="F1" s="905"/>
      <c r="G1" s="103"/>
      <c r="H1" s="103"/>
      <c r="I1" s="103"/>
      <c r="N1" s="943" t="s">
        <v>513</v>
      </c>
      <c r="O1" s="943"/>
      <c r="P1" s="943"/>
      <c r="R1" s="53"/>
    </row>
    <row r="2" spans="1:20" ht="27.75" customHeight="1" x14ac:dyDescent="0.25">
      <c r="A2" s="905" t="s">
        <v>338</v>
      </c>
      <c r="B2" s="905"/>
      <c r="C2" s="905"/>
      <c r="D2" s="905"/>
      <c r="E2" s="905"/>
      <c r="F2" s="905"/>
      <c r="G2" s="122"/>
      <c r="H2" s="122"/>
      <c r="I2" s="122"/>
      <c r="N2" s="943"/>
      <c r="O2" s="943"/>
      <c r="P2" s="943"/>
      <c r="R2" s="53"/>
    </row>
    <row r="3" spans="1:20" x14ac:dyDescent="0.25">
      <c r="A3" s="72"/>
      <c r="B3" s="73"/>
      <c r="C3" s="751"/>
      <c r="D3" s="30"/>
      <c r="E3" s="30"/>
      <c r="F3" s="30"/>
      <c r="G3" s="30"/>
      <c r="H3" s="30"/>
      <c r="I3" s="32"/>
      <c r="O3" s="944" t="s">
        <v>400</v>
      </c>
      <c r="P3" s="944"/>
      <c r="R3" s="53"/>
    </row>
    <row r="4" spans="1:20" ht="15" customHeight="1" x14ac:dyDescent="0.25">
      <c r="A4" s="145" t="s">
        <v>125</v>
      </c>
      <c r="B4" s="153" t="s">
        <v>32</v>
      </c>
      <c r="C4" s="752"/>
      <c r="D4" s="153" t="s">
        <v>190</v>
      </c>
      <c r="E4" s="145" t="s">
        <v>191</v>
      </c>
      <c r="F4" s="145" t="s">
        <v>192</v>
      </c>
      <c r="G4" s="145" t="s">
        <v>193</v>
      </c>
      <c r="H4" s="145" t="s">
        <v>194</v>
      </c>
      <c r="I4" s="154" t="s">
        <v>299</v>
      </c>
      <c r="J4" s="155" t="s">
        <v>195</v>
      </c>
      <c r="K4" s="155" t="s">
        <v>196</v>
      </c>
      <c r="L4" s="155" t="s">
        <v>197</v>
      </c>
      <c r="M4" s="155" t="s">
        <v>198</v>
      </c>
      <c r="N4" s="155" t="s">
        <v>199</v>
      </c>
      <c r="O4" s="155" t="s">
        <v>200</v>
      </c>
      <c r="P4" s="155" t="s">
        <v>47</v>
      </c>
      <c r="R4" s="53"/>
    </row>
    <row r="5" spans="1:20" x14ac:dyDescent="0.25">
      <c r="A5" s="28" t="s">
        <v>12</v>
      </c>
      <c r="B5" s="19" t="s">
        <v>79</v>
      </c>
      <c r="C5" s="760">
        <f>'2020. 1.bevkiadfőössz. '!O5</f>
        <v>852246572</v>
      </c>
      <c r="D5" s="144">
        <v>67630</v>
      </c>
      <c r="E5" s="144">
        <v>67630</v>
      </c>
      <c r="F5" s="144">
        <v>67630</v>
      </c>
      <c r="G5" s="144">
        <v>67630</v>
      </c>
      <c r="H5" s="144">
        <v>67630</v>
      </c>
      <c r="I5" s="144">
        <v>67630</v>
      </c>
      <c r="J5" s="144">
        <v>67630</v>
      </c>
      <c r="K5" s="144">
        <v>67630</v>
      </c>
      <c r="L5" s="144">
        <v>67630</v>
      </c>
      <c r="M5" s="144">
        <v>67630</v>
      </c>
      <c r="N5" s="144">
        <v>67630</v>
      </c>
      <c r="O5" s="144">
        <v>67624</v>
      </c>
      <c r="P5" s="79">
        <f t="shared" ref="P5:P34" si="0">SUM(D5:O5)</f>
        <v>811554</v>
      </c>
      <c r="Q5" s="178"/>
      <c r="R5" s="53">
        <v>706356</v>
      </c>
      <c r="S5" s="139">
        <v>811554</v>
      </c>
      <c r="T5" s="274">
        <f>+S5/12</f>
        <v>67629.5</v>
      </c>
    </row>
    <row r="6" spans="1:20" ht="23.25" x14ac:dyDescent="0.25">
      <c r="A6" s="28" t="s">
        <v>13</v>
      </c>
      <c r="B6" s="19" t="s">
        <v>80</v>
      </c>
      <c r="C6" s="760">
        <f>'2020. 1.bevkiadfőössz. '!O6</f>
        <v>88725755</v>
      </c>
      <c r="D6" s="144">
        <f>+D7</f>
        <v>9205</v>
      </c>
      <c r="E6" s="144">
        <f t="shared" ref="E6:O6" si="1">+E7</f>
        <v>9206</v>
      </c>
      <c r="F6" s="144">
        <f t="shared" si="1"/>
        <v>42206</v>
      </c>
      <c r="G6" s="144">
        <f t="shared" si="1"/>
        <v>7206</v>
      </c>
      <c r="H6" s="144">
        <f t="shared" si="1"/>
        <v>7206</v>
      </c>
      <c r="I6" s="144">
        <f t="shared" si="1"/>
        <v>7206</v>
      </c>
      <c r="J6" s="144">
        <f t="shared" si="1"/>
        <v>7206</v>
      </c>
      <c r="K6" s="144">
        <f t="shared" si="1"/>
        <v>7206</v>
      </c>
      <c r="L6" s="144">
        <f t="shared" si="1"/>
        <v>7206</v>
      </c>
      <c r="M6" s="144">
        <f t="shared" si="1"/>
        <v>7206</v>
      </c>
      <c r="N6" s="144">
        <f t="shared" si="1"/>
        <v>7206</v>
      </c>
      <c r="O6" s="144">
        <f t="shared" si="1"/>
        <v>6206</v>
      </c>
      <c r="P6" s="79">
        <f t="shared" si="0"/>
        <v>124471</v>
      </c>
      <c r="R6" s="53">
        <v>37809</v>
      </c>
      <c r="S6" s="139">
        <v>124471</v>
      </c>
      <c r="T6" s="274">
        <f t="shared" ref="T6:T38" si="2">+S6/12</f>
        <v>10372.583333333334</v>
      </c>
    </row>
    <row r="7" spans="1:20" ht="23.25" x14ac:dyDescent="0.25">
      <c r="A7" s="28" t="s">
        <v>54</v>
      </c>
      <c r="B7" s="19" t="s">
        <v>81</v>
      </c>
      <c r="C7" s="760">
        <f>'2020. 1.bevkiadfőössz. '!O7</f>
        <v>81872855</v>
      </c>
      <c r="D7" s="144">
        <f>SUM(D8:D10)</f>
        <v>9205</v>
      </c>
      <c r="E7" s="144">
        <f t="shared" ref="E7:O7" si="3">SUM(E8:E10)</f>
        <v>9206</v>
      </c>
      <c r="F7" s="144">
        <f t="shared" si="3"/>
        <v>42206</v>
      </c>
      <c r="G7" s="144">
        <f t="shared" si="3"/>
        <v>7206</v>
      </c>
      <c r="H7" s="144">
        <f t="shared" si="3"/>
        <v>7206</v>
      </c>
      <c r="I7" s="144">
        <f t="shared" si="3"/>
        <v>7206</v>
      </c>
      <c r="J7" s="144">
        <f t="shared" si="3"/>
        <v>7206</v>
      </c>
      <c r="K7" s="144">
        <f t="shared" si="3"/>
        <v>7206</v>
      </c>
      <c r="L7" s="144">
        <f t="shared" si="3"/>
        <v>7206</v>
      </c>
      <c r="M7" s="144">
        <f t="shared" si="3"/>
        <v>7206</v>
      </c>
      <c r="N7" s="144">
        <f t="shared" si="3"/>
        <v>7206</v>
      </c>
      <c r="O7" s="144">
        <f t="shared" si="3"/>
        <v>6206</v>
      </c>
      <c r="P7" s="79">
        <f t="shared" si="0"/>
        <v>124471</v>
      </c>
      <c r="R7" s="53">
        <v>37809</v>
      </c>
      <c r="S7" s="139">
        <v>124471</v>
      </c>
      <c r="T7" s="274">
        <f t="shared" si="2"/>
        <v>10372.583333333334</v>
      </c>
    </row>
    <row r="8" spans="1:20" x14ac:dyDescent="0.25">
      <c r="A8" s="28" t="s">
        <v>82</v>
      </c>
      <c r="B8" s="19" t="s">
        <v>361</v>
      </c>
      <c r="C8" s="760">
        <f>'2020. 1.bevkiadfőössz. '!O8</f>
        <v>50471452</v>
      </c>
      <c r="D8" s="144">
        <v>4205</v>
      </c>
      <c r="E8" s="144">
        <v>4206</v>
      </c>
      <c r="F8" s="144">
        <v>4206</v>
      </c>
      <c r="G8" s="144">
        <v>4206</v>
      </c>
      <c r="H8" s="144">
        <v>4206</v>
      </c>
      <c r="I8" s="144">
        <v>4206</v>
      </c>
      <c r="J8" s="78">
        <v>4206</v>
      </c>
      <c r="K8" s="78">
        <v>4206</v>
      </c>
      <c r="L8" s="78">
        <v>4206</v>
      </c>
      <c r="M8" s="78">
        <v>4206</v>
      </c>
      <c r="N8" s="78">
        <v>4206</v>
      </c>
      <c r="O8" s="78">
        <v>4206</v>
      </c>
      <c r="P8" s="79">
        <f t="shared" si="0"/>
        <v>50471</v>
      </c>
      <c r="R8" s="53">
        <v>35854</v>
      </c>
      <c r="S8" s="139">
        <v>50471</v>
      </c>
      <c r="T8" s="274">
        <f t="shared" si="2"/>
        <v>4205.916666666667</v>
      </c>
    </row>
    <row r="9" spans="1:20" x14ac:dyDescent="0.25">
      <c r="A9" s="28" t="s">
        <v>83</v>
      </c>
      <c r="B9" s="19" t="s">
        <v>362</v>
      </c>
      <c r="C9" s="760">
        <f>'2020. 1.bevkiadfőössz. '!O9</f>
        <v>0</v>
      </c>
      <c r="D9" s="144">
        <v>2000</v>
      </c>
      <c r="E9" s="144">
        <v>2000</v>
      </c>
      <c r="F9" s="144">
        <v>0</v>
      </c>
      <c r="G9" s="144">
        <v>0</v>
      </c>
      <c r="H9" s="144">
        <v>0</v>
      </c>
      <c r="I9" s="144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9">
        <f t="shared" si="0"/>
        <v>4000</v>
      </c>
      <c r="R9" s="53">
        <v>1955</v>
      </c>
      <c r="S9" s="139">
        <v>4000</v>
      </c>
      <c r="T9" s="274">
        <f t="shared" si="2"/>
        <v>333.33333333333331</v>
      </c>
    </row>
    <row r="10" spans="1:20" ht="23.25" x14ac:dyDescent="0.25">
      <c r="A10" s="28" t="s">
        <v>84</v>
      </c>
      <c r="B10" s="19" t="s">
        <v>363</v>
      </c>
      <c r="C10" s="760">
        <f>'2020. 1.bevkiadfőössz. '!O10</f>
        <v>29306976</v>
      </c>
      <c r="D10" s="144">
        <v>3000</v>
      </c>
      <c r="E10" s="144">
        <v>3000</v>
      </c>
      <c r="F10" s="144">
        <v>38000</v>
      </c>
      <c r="G10" s="144">
        <v>3000</v>
      </c>
      <c r="H10" s="144">
        <v>3000</v>
      </c>
      <c r="I10" s="144">
        <v>3000</v>
      </c>
      <c r="J10" s="78">
        <v>3000</v>
      </c>
      <c r="K10" s="78">
        <v>3000</v>
      </c>
      <c r="L10" s="78">
        <v>3000</v>
      </c>
      <c r="M10" s="78">
        <v>3000</v>
      </c>
      <c r="N10" s="78">
        <v>3000</v>
      </c>
      <c r="O10" s="78">
        <v>2000</v>
      </c>
      <c r="P10" s="79">
        <f t="shared" si="0"/>
        <v>70000</v>
      </c>
      <c r="R10" s="53">
        <v>0</v>
      </c>
      <c r="S10" s="139">
        <v>70000</v>
      </c>
      <c r="T10" s="274">
        <f t="shared" si="2"/>
        <v>5833.333333333333</v>
      </c>
    </row>
    <row r="11" spans="1:20" ht="23.25" x14ac:dyDescent="0.25">
      <c r="A11" s="28" t="s">
        <v>14</v>
      </c>
      <c r="B11" s="19" t="s">
        <v>86</v>
      </c>
      <c r="C11" s="760">
        <f>'2020. 1.bevkiadfőössz. '!O11</f>
        <v>478500000</v>
      </c>
      <c r="D11" s="144">
        <v>0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78">
        <v>0</v>
      </c>
      <c r="K11" s="78">
        <v>0</v>
      </c>
      <c r="L11" s="78">
        <v>0</v>
      </c>
      <c r="M11" s="78">
        <v>50000</v>
      </c>
      <c r="N11" s="78">
        <v>136000</v>
      </c>
      <c r="O11" s="78">
        <v>100000</v>
      </c>
      <c r="P11" s="79">
        <f t="shared" si="0"/>
        <v>286000</v>
      </c>
      <c r="R11" s="53">
        <v>220504</v>
      </c>
      <c r="S11" s="139">
        <v>711000</v>
      </c>
      <c r="T11" s="274">
        <f t="shared" si="2"/>
        <v>59250</v>
      </c>
    </row>
    <row r="12" spans="1:20" x14ac:dyDescent="0.25">
      <c r="A12" s="28" t="s">
        <v>15</v>
      </c>
      <c r="B12" s="19" t="s">
        <v>87</v>
      </c>
      <c r="C12" s="760">
        <f>'2020. 1.bevkiadfőössz. '!O12</f>
        <v>1057847125</v>
      </c>
      <c r="D12" s="144">
        <f>SUM(D13:D18)</f>
        <v>10450</v>
      </c>
      <c r="E12" s="144">
        <f>SUM(E13:E18)</f>
        <v>15450</v>
      </c>
      <c r="F12" s="144">
        <f t="shared" ref="F12:O12" si="4">SUM(F13:F18)</f>
        <v>425500</v>
      </c>
      <c r="G12" s="144">
        <f t="shared" si="4"/>
        <v>25450</v>
      </c>
      <c r="H12" s="144">
        <f t="shared" si="4"/>
        <v>21850</v>
      </c>
      <c r="I12" s="144">
        <f t="shared" si="4"/>
        <v>13750</v>
      </c>
      <c r="J12" s="144">
        <f t="shared" si="4"/>
        <v>12700</v>
      </c>
      <c r="K12" s="144">
        <f t="shared" si="4"/>
        <v>7700</v>
      </c>
      <c r="L12" s="144">
        <f t="shared" si="4"/>
        <v>444800</v>
      </c>
      <c r="M12" s="144">
        <f t="shared" si="4"/>
        <v>23650</v>
      </c>
      <c r="N12" s="144">
        <f t="shared" si="4"/>
        <v>8950</v>
      </c>
      <c r="O12" s="144">
        <f t="shared" si="4"/>
        <v>66750</v>
      </c>
      <c r="P12" s="79">
        <f t="shared" si="0"/>
        <v>1077000</v>
      </c>
      <c r="R12" s="53">
        <v>886700</v>
      </c>
      <c r="S12" s="139">
        <v>1100000</v>
      </c>
      <c r="T12" s="274">
        <f t="shared" si="2"/>
        <v>91666.666666666672</v>
      </c>
    </row>
    <row r="13" spans="1:20" x14ac:dyDescent="0.25">
      <c r="A13" s="28"/>
      <c r="B13" s="19" t="s">
        <v>38</v>
      </c>
      <c r="C13" s="760">
        <f>'2020. 1.bevkiadfőössz. '!O13</f>
        <v>300000000</v>
      </c>
      <c r="D13" s="144">
        <v>6000</v>
      </c>
      <c r="E13" s="144">
        <v>6000</v>
      </c>
      <c r="F13" s="144">
        <v>120000</v>
      </c>
      <c r="G13" s="144">
        <v>11000</v>
      </c>
      <c r="H13" s="144">
        <v>5000</v>
      </c>
      <c r="I13" s="144">
        <v>5000</v>
      </c>
      <c r="J13" s="78">
        <v>5000</v>
      </c>
      <c r="K13" s="78">
        <v>0</v>
      </c>
      <c r="L13" s="78">
        <v>120000</v>
      </c>
      <c r="M13" s="78">
        <v>14000</v>
      </c>
      <c r="N13" s="78">
        <v>4000</v>
      </c>
      <c r="O13" s="78">
        <v>4000</v>
      </c>
      <c r="P13" s="79">
        <f t="shared" si="0"/>
        <v>300000</v>
      </c>
      <c r="R13" s="53">
        <v>260000</v>
      </c>
      <c r="S13" s="139">
        <v>300000</v>
      </c>
      <c r="T13" s="274">
        <f t="shared" si="2"/>
        <v>25000</v>
      </c>
    </row>
    <row r="14" spans="1:20" x14ac:dyDescent="0.25">
      <c r="A14" s="28"/>
      <c r="B14" s="19" t="s">
        <v>39</v>
      </c>
      <c r="C14" s="760">
        <f>'2020. 1.bevkiadfőössz. '!O14</f>
        <v>85000000</v>
      </c>
      <c r="D14" s="144">
        <v>1000</v>
      </c>
      <c r="E14" s="144">
        <v>1000</v>
      </c>
      <c r="F14" s="144">
        <v>30000</v>
      </c>
      <c r="G14" s="144">
        <v>6000</v>
      </c>
      <c r="H14" s="144">
        <v>1000</v>
      </c>
      <c r="I14" s="144">
        <v>3000</v>
      </c>
      <c r="J14" s="78">
        <v>1000</v>
      </c>
      <c r="K14" s="78">
        <v>2000</v>
      </c>
      <c r="L14" s="78">
        <v>30000</v>
      </c>
      <c r="M14" s="78">
        <v>6000</v>
      </c>
      <c r="N14" s="78">
        <v>2000</v>
      </c>
      <c r="O14" s="78">
        <v>2000</v>
      </c>
      <c r="P14" s="79">
        <f t="shared" si="0"/>
        <v>85000</v>
      </c>
      <c r="R14" s="53">
        <v>70000</v>
      </c>
      <c r="S14" s="139">
        <v>85000</v>
      </c>
      <c r="T14" s="274">
        <f t="shared" si="2"/>
        <v>7083.333333333333</v>
      </c>
    </row>
    <row r="15" spans="1:20" x14ac:dyDescent="0.25">
      <c r="A15" s="28"/>
      <c r="B15" s="19" t="s">
        <v>40</v>
      </c>
      <c r="C15" s="760">
        <f>'2020. 1.bevkiadfőössz. '!O15</f>
        <v>662500000</v>
      </c>
      <c r="D15" s="144">
        <v>3000</v>
      </c>
      <c r="E15" s="144">
        <v>8000</v>
      </c>
      <c r="F15" s="144">
        <v>275000</v>
      </c>
      <c r="G15" s="144">
        <v>8000</v>
      </c>
      <c r="H15" s="144">
        <v>15000</v>
      </c>
      <c r="I15" s="144">
        <v>5000</v>
      </c>
      <c r="J15" s="78">
        <v>5000</v>
      </c>
      <c r="K15" s="78">
        <v>5000</v>
      </c>
      <c r="L15" s="78">
        <v>275000</v>
      </c>
      <c r="M15" s="78">
        <v>2000</v>
      </c>
      <c r="N15" s="78">
        <v>1500</v>
      </c>
      <c r="O15" s="78">
        <v>60000</v>
      </c>
      <c r="P15" s="79">
        <f t="shared" si="0"/>
        <v>662500</v>
      </c>
      <c r="R15" s="53">
        <v>510000</v>
      </c>
      <c r="S15" s="139">
        <v>662500</v>
      </c>
      <c r="T15" s="274">
        <f t="shared" si="2"/>
        <v>55208.333333333336</v>
      </c>
    </row>
    <row r="16" spans="1:20" x14ac:dyDescent="0.25">
      <c r="A16" s="28"/>
      <c r="B16" s="19" t="s">
        <v>70</v>
      </c>
      <c r="C16" s="760">
        <f>'2020. 1.bevkiadfőössz. '!O16</f>
        <v>0</v>
      </c>
      <c r="D16" s="144">
        <v>0</v>
      </c>
      <c r="E16" s="144">
        <v>0</v>
      </c>
      <c r="F16" s="144">
        <v>0</v>
      </c>
      <c r="G16" s="144">
        <v>0</v>
      </c>
      <c r="H16" s="144">
        <v>400</v>
      </c>
      <c r="I16" s="144">
        <v>300</v>
      </c>
      <c r="J16" s="78">
        <v>250</v>
      </c>
      <c r="K16" s="78">
        <v>250</v>
      </c>
      <c r="L16" s="78">
        <v>300</v>
      </c>
      <c r="M16" s="78">
        <v>200</v>
      </c>
      <c r="N16" s="78">
        <v>0</v>
      </c>
      <c r="O16" s="78">
        <v>300</v>
      </c>
      <c r="P16" s="79">
        <f t="shared" si="0"/>
        <v>2000</v>
      </c>
      <c r="R16" s="53">
        <v>2000</v>
      </c>
      <c r="S16" s="139">
        <v>2000</v>
      </c>
      <c r="T16" s="274">
        <f t="shared" si="2"/>
        <v>166.66666666666666</v>
      </c>
    </row>
    <row r="17" spans="1:20" x14ac:dyDescent="0.25">
      <c r="A17" s="28"/>
      <c r="B17" s="19" t="s">
        <v>41</v>
      </c>
      <c r="C17" s="760">
        <f>'2020. 1.bevkiadfőössz. '!O17</f>
        <v>5000000</v>
      </c>
      <c r="D17" s="144">
        <v>0</v>
      </c>
      <c r="E17" s="144">
        <v>0</v>
      </c>
      <c r="F17" s="144">
        <v>0</v>
      </c>
      <c r="G17" s="144">
        <v>0</v>
      </c>
      <c r="H17" s="144">
        <v>0</v>
      </c>
      <c r="I17" s="144">
        <v>0</v>
      </c>
      <c r="J17" s="78">
        <v>1000</v>
      </c>
      <c r="K17" s="78">
        <v>0</v>
      </c>
      <c r="L17" s="78">
        <v>19000</v>
      </c>
      <c r="M17" s="78">
        <v>1000</v>
      </c>
      <c r="N17" s="78">
        <v>1000</v>
      </c>
      <c r="O17" s="78">
        <v>0</v>
      </c>
      <c r="P17" s="79">
        <f t="shared" si="0"/>
        <v>22000</v>
      </c>
      <c r="R17" s="53">
        <v>40000</v>
      </c>
      <c r="S17" s="139">
        <v>45000</v>
      </c>
      <c r="T17" s="274">
        <f t="shared" si="2"/>
        <v>3750</v>
      </c>
    </row>
    <row r="18" spans="1:20" x14ac:dyDescent="0.25">
      <c r="A18" s="28"/>
      <c r="B18" s="19" t="s">
        <v>275</v>
      </c>
      <c r="C18" s="760">
        <f>'2020. 1.bevkiadfőössz. '!O18</f>
        <v>2500000</v>
      </c>
      <c r="D18" s="144">
        <v>450</v>
      </c>
      <c r="E18" s="144">
        <v>450</v>
      </c>
      <c r="F18" s="144">
        <v>500</v>
      </c>
      <c r="G18" s="144">
        <v>450</v>
      </c>
      <c r="H18" s="144">
        <v>450</v>
      </c>
      <c r="I18" s="144">
        <v>450</v>
      </c>
      <c r="J18" s="78">
        <v>450</v>
      </c>
      <c r="K18" s="78">
        <v>450</v>
      </c>
      <c r="L18" s="78">
        <v>500</v>
      </c>
      <c r="M18" s="78">
        <v>450</v>
      </c>
      <c r="N18" s="78">
        <v>450</v>
      </c>
      <c r="O18" s="78">
        <v>450</v>
      </c>
      <c r="P18" s="79">
        <f t="shared" si="0"/>
        <v>5500</v>
      </c>
      <c r="R18" s="53">
        <v>4700</v>
      </c>
      <c r="S18" s="139">
        <v>5500</v>
      </c>
      <c r="T18" s="274">
        <f t="shared" si="2"/>
        <v>458.33333333333331</v>
      </c>
    </row>
    <row r="19" spans="1:20" x14ac:dyDescent="0.25">
      <c r="A19" s="28" t="s">
        <v>16</v>
      </c>
      <c r="B19" s="19" t="s">
        <v>88</v>
      </c>
      <c r="C19" s="760">
        <f>'2020. 1.bevkiadfőössz. '!O19</f>
        <v>164407734</v>
      </c>
      <c r="D19" s="144">
        <v>21784</v>
      </c>
      <c r="E19" s="144">
        <v>21784</v>
      </c>
      <c r="F19" s="144">
        <v>21784</v>
      </c>
      <c r="G19" s="144">
        <v>21784</v>
      </c>
      <c r="H19" s="144">
        <v>21784</v>
      </c>
      <c r="I19" s="144">
        <f>21776+30000</f>
        <v>51776</v>
      </c>
      <c r="J19" s="144">
        <f>50600+21776</f>
        <v>72376</v>
      </c>
      <c r="K19" s="144">
        <v>21784</v>
      </c>
      <c r="L19" s="144">
        <v>21784</v>
      </c>
      <c r="M19" s="144">
        <v>21784</v>
      </c>
      <c r="N19" s="144">
        <v>21784</v>
      </c>
      <c r="O19" s="144">
        <v>21788</v>
      </c>
      <c r="P19" s="79">
        <f t="shared" si="0"/>
        <v>341996</v>
      </c>
      <c r="Q19" s="179"/>
      <c r="R19" s="54">
        <v>275729</v>
      </c>
      <c r="S19" s="139">
        <f>341996</f>
        <v>341996</v>
      </c>
      <c r="T19" s="274">
        <f t="shared" si="2"/>
        <v>28499.666666666668</v>
      </c>
    </row>
    <row r="20" spans="1:20" x14ac:dyDescent="0.25">
      <c r="A20" s="28" t="s">
        <v>17</v>
      </c>
      <c r="B20" s="19" t="s">
        <v>89</v>
      </c>
      <c r="C20" s="760">
        <f>'2020. 1.bevkiadfőössz. '!O20</f>
        <v>15000000</v>
      </c>
      <c r="D20" s="144">
        <v>0</v>
      </c>
      <c r="E20" s="144">
        <v>0</v>
      </c>
      <c r="F20" s="144">
        <v>0</v>
      </c>
      <c r="G20" s="144">
        <v>0</v>
      </c>
      <c r="H20" s="144">
        <v>45000</v>
      </c>
      <c r="I20" s="144">
        <v>0</v>
      </c>
      <c r="J20" s="78">
        <v>0</v>
      </c>
      <c r="K20" s="78">
        <v>0</v>
      </c>
      <c r="L20" s="78">
        <v>220000</v>
      </c>
      <c r="M20" s="78">
        <v>16000</v>
      </c>
      <c r="N20" s="78">
        <v>0</v>
      </c>
      <c r="O20" s="78">
        <v>0</v>
      </c>
      <c r="P20" s="79">
        <f t="shared" si="0"/>
        <v>281000</v>
      </c>
      <c r="R20" s="53">
        <v>252827</v>
      </c>
      <c r="S20" s="139">
        <v>187000</v>
      </c>
      <c r="T20" s="274">
        <f t="shared" si="2"/>
        <v>15583.333333333334</v>
      </c>
    </row>
    <row r="21" spans="1:20" x14ac:dyDescent="0.25">
      <c r="A21" s="28" t="s">
        <v>18</v>
      </c>
      <c r="B21" s="19" t="s">
        <v>90</v>
      </c>
      <c r="C21" s="760">
        <f>'2020. 1.bevkiadfőössz. '!O21</f>
        <v>2237500</v>
      </c>
      <c r="D21" s="144">
        <v>0</v>
      </c>
      <c r="E21" s="144">
        <v>0</v>
      </c>
      <c r="F21" s="144">
        <v>0</v>
      </c>
      <c r="G21" s="144">
        <v>0</v>
      </c>
      <c r="H21" s="144">
        <v>0</v>
      </c>
      <c r="I21" s="144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9">
        <f t="shared" si="0"/>
        <v>0</v>
      </c>
      <c r="R21" s="53">
        <v>0</v>
      </c>
      <c r="S21" s="139">
        <v>0</v>
      </c>
      <c r="T21" s="274">
        <f t="shared" si="2"/>
        <v>0</v>
      </c>
    </row>
    <row r="22" spans="1:20" x14ac:dyDescent="0.25">
      <c r="A22" s="28" t="s">
        <v>19</v>
      </c>
      <c r="B22" s="19" t="s">
        <v>91</v>
      </c>
      <c r="C22" s="760">
        <f>'2020. 1.bevkiadfőössz. '!O22</f>
        <v>1152875</v>
      </c>
      <c r="D22" s="144">
        <v>0</v>
      </c>
      <c r="E22" s="144">
        <v>0</v>
      </c>
      <c r="F22" s="144">
        <v>0</v>
      </c>
      <c r="G22" s="144">
        <v>0</v>
      </c>
      <c r="H22" s="144">
        <v>0</v>
      </c>
      <c r="I22" s="144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9">
        <f t="shared" si="0"/>
        <v>0</v>
      </c>
      <c r="R22" s="53">
        <v>0</v>
      </c>
      <c r="S22" s="139">
        <v>0</v>
      </c>
      <c r="T22" s="274">
        <f t="shared" si="2"/>
        <v>0</v>
      </c>
    </row>
    <row r="23" spans="1:20" x14ac:dyDescent="0.25">
      <c r="A23" s="99" t="s">
        <v>20</v>
      </c>
      <c r="B23" s="18" t="s">
        <v>92</v>
      </c>
      <c r="C23" s="760">
        <f>'2020. 1.bevkiadfőössz. '!O23</f>
        <v>2660117561</v>
      </c>
      <c r="D23" s="144">
        <f>D5+D6+D11+D12+D19+D20+D21+D22</f>
        <v>109069</v>
      </c>
      <c r="E23" s="144">
        <f t="shared" ref="E23:O23" si="5">E5+E6+E11+E12+E19+E20+E21+E22</f>
        <v>114070</v>
      </c>
      <c r="F23" s="144">
        <f t="shared" si="5"/>
        <v>557120</v>
      </c>
      <c r="G23" s="144">
        <f t="shared" si="5"/>
        <v>122070</v>
      </c>
      <c r="H23" s="144">
        <f t="shared" si="5"/>
        <v>163470</v>
      </c>
      <c r="I23" s="144">
        <f t="shared" si="5"/>
        <v>140362</v>
      </c>
      <c r="J23" s="144">
        <f t="shared" si="5"/>
        <v>159912</v>
      </c>
      <c r="K23" s="144">
        <f t="shared" si="5"/>
        <v>104320</v>
      </c>
      <c r="L23" s="144">
        <f t="shared" si="5"/>
        <v>761420</v>
      </c>
      <c r="M23" s="144">
        <f t="shared" si="5"/>
        <v>186270</v>
      </c>
      <c r="N23" s="144">
        <f t="shared" si="5"/>
        <v>241570</v>
      </c>
      <c r="O23" s="144">
        <f t="shared" si="5"/>
        <v>262368</v>
      </c>
      <c r="P23" s="79">
        <f t="shared" si="0"/>
        <v>2922021</v>
      </c>
      <c r="R23" s="53"/>
      <c r="S23" s="139">
        <v>3308922</v>
      </c>
      <c r="T23" s="274">
        <f t="shared" si="2"/>
        <v>275743.5</v>
      </c>
    </row>
    <row r="24" spans="1:20" x14ac:dyDescent="0.25">
      <c r="A24" s="28" t="s">
        <v>21</v>
      </c>
      <c r="B24" s="19" t="s">
        <v>93</v>
      </c>
      <c r="C24" s="760">
        <f>'2020. 1.bevkiadfőössz. '!O24</f>
        <v>350000000</v>
      </c>
      <c r="D24" s="144">
        <v>0</v>
      </c>
      <c r="E24" s="144">
        <v>0</v>
      </c>
      <c r="F24" s="144">
        <v>0</v>
      </c>
      <c r="G24" s="144">
        <v>0</v>
      </c>
      <c r="H24" s="144">
        <v>0</v>
      </c>
      <c r="I24" s="144">
        <v>80000</v>
      </c>
      <c r="J24" s="78">
        <v>0</v>
      </c>
      <c r="K24" s="78">
        <v>270000</v>
      </c>
      <c r="L24" s="78">
        <v>0</v>
      </c>
      <c r="M24" s="78">
        <v>0</v>
      </c>
      <c r="N24" s="78">
        <v>0</v>
      </c>
      <c r="O24" s="78">
        <v>0</v>
      </c>
      <c r="P24" s="79">
        <f t="shared" si="0"/>
        <v>350000</v>
      </c>
      <c r="R24" s="53"/>
      <c r="S24" s="139">
        <v>206000</v>
      </c>
      <c r="T24" s="274">
        <f t="shared" si="2"/>
        <v>17166.666666666668</v>
      </c>
    </row>
    <row r="25" spans="1:20" s="181" customFormat="1" ht="23.25" x14ac:dyDescent="0.25">
      <c r="A25" s="28"/>
      <c r="B25" s="19" t="s">
        <v>427</v>
      </c>
      <c r="C25" s="760">
        <f>'2020. 1.bevkiadfőössz. '!O25</f>
        <v>300000000</v>
      </c>
      <c r="D25" s="144"/>
      <c r="E25" s="144"/>
      <c r="F25" s="144"/>
      <c r="G25" s="144"/>
      <c r="H25" s="144"/>
      <c r="I25" s="144"/>
      <c r="J25" s="78"/>
      <c r="K25" s="78"/>
      <c r="L25" s="78"/>
      <c r="M25" s="78"/>
      <c r="N25" s="78"/>
      <c r="O25" s="78"/>
      <c r="P25" s="79"/>
      <c r="R25" s="53"/>
      <c r="S25" s="139"/>
      <c r="T25" s="274"/>
    </row>
    <row r="26" spans="1:20" x14ac:dyDescent="0.25">
      <c r="A26" s="28" t="s">
        <v>22</v>
      </c>
      <c r="B26" s="19" t="s">
        <v>94</v>
      </c>
      <c r="C26" s="760">
        <f>'2020. 1.bevkiadfőössz. '!O26</f>
        <v>0</v>
      </c>
      <c r="D26" s="144">
        <v>0</v>
      </c>
      <c r="E26" s="144">
        <v>0</v>
      </c>
      <c r="F26" s="144">
        <v>0</v>
      </c>
      <c r="G26" s="144">
        <v>0</v>
      </c>
      <c r="H26" s="144">
        <v>0</v>
      </c>
      <c r="I26" s="144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9">
        <f t="shared" si="0"/>
        <v>0</v>
      </c>
      <c r="Q26" s="179"/>
      <c r="R26" s="53"/>
      <c r="S26" s="139">
        <v>0</v>
      </c>
      <c r="T26" s="274">
        <f t="shared" si="2"/>
        <v>0</v>
      </c>
    </row>
    <row r="27" spans="1:20" x14ac:dyDescent="0.25">
      <c r="A27" s="28" t="s">
        <v>23</v>
      </c>
      <c r="B27" s="19" t="s">
        <v>95</v>
      </c>
      <c r="C27" s="760">
        <f>'2020. 1.bevkiadfőössz. '!O27</f>
        <v>270834939</v>
      </c>
      <c r="D27" s="144">
        <v>326000</v>
      </c>
      <c r="E27" s="144">
        <v>0</v>
      </c>
      <c r="F27" s="144">
        <v>0</v>
      </c>
      <c r="G27" s="144">
        <v>0</v>
      </c>
      <c r="H27" s="144">
        <v>0</v>
      </c>
      <c r="I27" s="144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9">
        <f t="shared" si="0"/>
        <v>326000</v>
      </c>
      <c r="R27" s="53"/>
      <c r="S27" s="139">
        <v>690000</v>
      </c>
      <c r="T27" s="274">
        <f t="shared" si="2"/>
        <v>57500</v>
      </c>
    </row>
    <row r="28" spans="1:20" x14ac:dyDescent="0.25">
      <c r="A28" s="28" t="s">
        <v>24</v>
      </c>
      <c r="B28" s="19" t="s">
        <v>96</v>
      </c>
      <c r="C28" s="760">
        <f>'2020. 1.bevkiadfőössz. '!O28</f>
        <v>1492603000</v>
      </c>
      <c r="D28" s="144">
        <v>90078</v>
      </c>
      <c r="E28" s="144">
        <v>90078</v>
      </c>
      <c r="F28" s="144">
        <v>90078</v>
      </c>
      <c r="G28" s="144">
        <v>90078</v>
      </c>
      <c r="H28" s="144">
        <v>90078</v>
      </c>
      <c r="I28" s="144">
        <v>90078</v>
      </c>
      <c r="J28" s="78">
        <v>90078</v>
      </c>
      <c r="K28" s="78">
        <v>90078</v>
      </c>
      <c r="L28" s="78">
        <v>90078</v>
      </c>
      <c r="M28" s="78">
        <v>90078</v>
      </c>
      <c r="N28" s="78">
        <v>90078</v>
      </c>
      <c r="O28" s="78">
        <v>90078</v>
      </c>
      <c r="P28" s="79">
        <f t="shared" si="0"/>
        <v>1080936</v>
      </c>
      <c r="R28" s="179">
        <v>909213</v>
      </c>
      <c r="S28" s="139">
        <v>1080936</v>
      </c>
      <c r="T28" s="274">
        <f t="shared" si="2"/>
        <v>90078</v>
      </c>
    </row>
    <row r="29" spans="1:20" x14ac:dyDescent="0.25">
      <c r="A29" s="28"/>
      <c r="B29" s="19" t="s">
        <v>97</v>
      </c>
      <c r="C29" s="760">
        <f>'2020. 1.bevkiadfőössz. '!O29</f>
        <v>1492603000</v>
      </c>
      <c r="D29" s="144">
        <v>90078</v>
      </c>
      <c r="E29" s="144">
        <v>90078</v>
      </c>
      <c r="F29" s="144">
        <v>90078</v>
      </c>
      <c r="G29" s="144">
        <v>90078</v>
      </c>
      <c r="H29" s="144">
        <v>90078</v>
      </c>
      <c r="I29" s="144">
        <v>90078</v>
      </c>
      <c r="J29" s="78">
        <v>90078</v>
      </c>
      <c r="K29" s="78">
        <v>90078</v>
      </c>
      <c r="L29" s="78">
        <v>90078</v>
      </c>
      <c r="M29" s="78">
        <v>90078</v>
      </c>
      <c r="N29" s="78">
        <v>90078</v>
      </c>
      <c r="O29" s="78">
        <v>90078</v>
      </c>
      <c r="P29" s="79">
        <f t="shared" si="0"/>
        <v>1080936</v>
      </c>
      <c r="R29" s="53"/>
      <c r="S29" s="139">
        <v>1003737</v>
      </c>
      <c r="T29" s="274">
        <f t="shared" si="2"/>
        <v>83644.75</v>
      </c>
    </row>
    <row r="30" spans="1:20" s="181" customFormat="1" ht="24.75" x14ac:dyDescent="0.25">
      <c r="A30" s="28"/>
      <c r="B30" s="283" t="s">
        <v>236</v>
      </c>
      <c r="C30" s="760"/>
      <c r="D30" s="144"/>
      <c r="E30" s="144"/>
      <c r="F30" s="144"/>
      <c r="G30" s="144"/>
      <c r="H30" s="144"/>
      <c r="I30" s="144"/>
      <c r="J30" s="78"/>
      <c r="K30" s="78"/>
      <c r="L30" s="78"/>
      <c r="M30" s="78"/>
      <c r="N30" s="78"/>
      <c r="O30" s="78"/>
      <c r="P30" s="79"/>
      <c r="R30" s="53"/>
      <c r="S30" s="139"/>
      <c r="T30" s="274"/>
    </row>
    <row r="31" spans="1:20" x14ac:dyDescent="0.25">
      <c r="A31" s="28" t="s">
        <v>25</v>
      </c>
      <c r="B31" s="19" t="s">
        <v>98</v>
      </c>
      <c r="C31" s="760">
        <f>'2020. 1.bevkiadfőössz. '!O30</f>
        <v>0</v>
      </c>
      <c r="D31" s="144">
        <v>0</v>
      </c>
      <c r="E31" s="144">
        <v>0</v>
      </c>
      <c r="F31" s="144">
        <v>0</v>
      </c>
      <c r="G31" s="144">
        <v>0</v>
      </c>
      <c r="H31" s="144">
        <v>0</v>
      </c>
      <c r="I31" s="144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9">
        <f t="shared" si="0"/>
        <v>0</v>
      </c>
      <c r="R31" s="53"/>
      <c r="S31" s="139">
        <v>0</v>
      </c>
      <c r="T31" s="274">
        <f t="shared" si="2"/>
        <v>0</v>
      </c>
    </row>
    <row r="32" spans="1:20" ht="23.25" x14ac:dyDescent="0.25">
      <c r="A32" s="28" t="s">
        <v>26</v>
      </c>
      <c r="B32" s="19" t="s">
        <v>99</v>
      </c>
      <c r="C32" s="760">
        <f>'2020. 1.bevkiadfőössz. '!O31</f>
        <v>0</v>
      </c>
      <c r="D32" s="144">
        <v>0</v>
      </c>
      <c r="E32" s="144">
        <v>0</v>
      </c>
      <c r="F32" s="144">
        <v>0</v>
      </c>
      <c r="G32" s="144">
        <v>0</v>
      </c>
      <c r="H32" s="144">
        <v>0</v>
      </c>
      <c r="I32" s="126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9">
        <f t="shared" si="0"/>
        <v>0</v>
      </c>
      <c r="R32" s="53"/>
      <c r="S32" s="139">
        <v>0</v>
      </c>
      <c r="T32" s="274">
        <f t="shared" si="2"/>
        <v>0</v>
      </c>
    </row>
    <row r="33" spans="1:20" x14ac:dyDescent="0.25">
      <c r="A33" s="28" t="s">
        <v>27</v>
      </c>
      <c r="B33" s="18" t="s">
        <v>100</v>
      </c>
      <c r="C33" s="760">
        <f>'2020. 1.bevkiadfőössz. '!O33</f>
        <v>2413437939</v>
      </c>
      <c r="D33" s="144">
        <f t="shared" ref="D33:O33" si="6">D24+D26+D27+D28+D31+D32</f>
        <v>416078</v>
      </c>
      <c r="E33" s="144">
        <f t="shared" si="6"/>
        <v>90078</v>
      </c>
      <c r="F33" s="144">
        <f t="shared" si="6"/>
        <v>90078</v>
      </c>
      <c r="G33" s="144">
        <f t="shared" si="6"/>
        <v>90078</v>
      </c>
      <c r="H33" s="144">
        <f t="shared" si="6"/>
        <v>90078</v>
      </c>
      <c r="I33" s="144">
        <f t="shared" si="6"/>
        <v>170078</v>
      </c>
      <c r="J33" s="144">
        <f t="shared" si="6"/>
        <v>90078</v>
      </c>
      <c r="K33" s="144">
        <f t="shared" si="6"/>
        <v>360078</v>
      </c>
      <c r="L33" s="144">
        <f t="shared" si="6"/>
        <v>90078</v>
      </c>
      <c r="M33" s="144">
        <f t="shared" si="6"/>
        <v>90078</v>
      </c>
      <c r="N33" s="144">
        <f t="shared" si="6"/>
        <v>90078</v>
      </c>
      <c r="O33" s="144">
        <f t="shared" si="6"/>
        <v>90078</v>
      </c>
      <c r="P33" s="79">
        <f t="shared" si="0"/>
        <v>1756936</v>
      </c>
      <c r="R33" s="53"/>
      <c r="S33" s="139">
        <v>0</v>
      </c>
      <c r="T33" s="274">
        <f t="shared" si="2"/>
        <v>0</v>
      </c>
    </row>
    <row r="34" spans="1:20" ht="23.25" x14ac:dyDescent="0.25">
      <c r="A34" s="28" t="s">
        <v>28</v>
      </c>
      <c r="B34" s="18" t="s">
        <v>101</v>
      </c>
      <c r="C34" s="760">
        <f>'2020. 1.bevkiadfőössz. '!O34</f>
        <v>5073555500</v>
      </c>
      <c r="D34" s="144">
        <f t="shared" ref="D34:O34" si="7">D23+D33</f>
        <v>525147</v>
      </c>
      <c r="E34" s="144">
        <f t="shared" si="7"/>
        <v>204148</v>
      </c>
      <c r="F34" s="144">
        <f t="shared" si="7"/>
        <v>647198</v>
      </c>
      <c r="G34" s="144">
        <f t="shared" si="7"/>
        <v>212148</v>
      </c>
      <c r="H34" s="144">
        <f t="shared" si="7"/>
        <v>253548</v>
      </c>
      <c r="I34" s="144">
        <f t="shared" si="7"/>
        <v>310440</v>
      </c>
      <c r="J34" s="144">
        <f t="shared" si="7"/>
        <v>249990</v>
      </c>
      <c r="K34" s="144">
        <f t="shared" si="7"/>
        <v>464398</v>
      </c>
      <c r="L34" s="144">
        <f t="shared" si="7"/>
        <v>851498</v>
      </c>
      <c r="M34" s="144">
        <f t="shared" si="7"/>
        <v>276348</v>
      </c>
      <c r="N34" s="144">
        <f t="shared" si="7"/>
        <v>331648</v>
      </c>
      <c r="O34" s="144">
        <f t="shared" si="7"/>
        <v>352446</v>
      </c>
      <c r="P34" s="79">
        <f t="shared" si="0"/>
        <v>4678957</v>
      </c>
      <c r="R34" s="53"/>
      <c r="S34" s="139">
        <v>1899737</v>
      </c>
      <c r="T34" s="274">
        <f t="shared" si="2"/>
        <v>158311.41666666666</v>
      </c>
    </row>
    <row r="35" spans="1:20" x14ac:dyDescent="0.25">
      <c r="A35" s="28"/>
      <c r="B35" s="164" t="s">
        <v>203</v>
      </c>
      <c r="C35" s="753"/>
      <c r="D35" s="165">
        <f>+'22.kiadási ütemterv'!C25</f>
        <v>312743</v>
      </c>
      <c r="E35" s="165">
        <f>+'22.kiadási ütemterv'!D25</f>
        <v>272923</v>
      </c>
      <c r="F35" s="165">
        <f>+'22.kiadási ütemterv'!E25</f>
        <v>274724</v>
      </c>
      <c r="G35" s="165">
        <f>+'22.kiadási ütemterv'!F25</f>
        <v>496396</v>
      </c>
      <c r="H35" s="165">
        <f>+'22.kiadási ütemterv'!G25</f>
        <v>523389</v>
      </c>
      <c r="I35" s="165">
        <f>+'22.kiadási ütemterv'!H25</f>
        <v>287468</v>
      </c>
      <c r="J35" s="165">
        <f>+'22.kiadási ütemterv'!I25</f>
        <v>466925</v>
      </c>
      <c r="K35" s="165">
        <f>+'22.kiadási ütemterv'!J25</f>
        <v>442925</v>
      </c>
      <c r="L35" s="165">
        <f>+'22.kiadási ütemterv'!K25</f>
        <v>745684</v>
      </c>
      <c r="M35" s="165">
        <f>+'22.kiadási ütemterv'!L25</f>
        <v>450924</v>
      </c>
      <c r="N35" s="165">
        <f>+'22.kiadási ütemterv'!M25</f>
        <v>339923</v>
      </c>
      <c r="O35" s="165">
        <f>+'22.kiadási ütemterv'!N25</f>
        <v>512933</v>
      </c>
      <c r="P35" s="166">
        <f>SUM(D35:O35)</f>
        <v>5126957</v>
      </c>
      <c r="R35" s="53"/>
      <c r="S35" s="139">
        <v>5208659</v>
      </c>
      <c r="T35" s="274">
        <f t="shared" si="2"/>
        <v>434054.91666666669</v>
      </c>
    </row>
    <row r="36" spans="1:20" ht="12" customHeight="1" x14ac:dyDescent="0.25">
      <c r="A36" s="28"/>
      <c r="B36" s="164" t="s">
        <v>204</v>
      </c>
      <c r="C36" s="753"/>
      <c r="D36" s="165">
        <f>+D34-D35</f>
        <v>212404</v>
      </c>
      <c r="E36" s="165">
        <f>+D36+E34-E35</f>
        <v>143629</v>
      </c>
      <c r="F36" s="165">
        <f t="shared" ref="F36:O36" si="8">+E36+F34-F35</f>
        <v>516103</v>
      </c>
      <c r="G36" s="165">
        <f t="shared" si="8"/>
        <v>231855</v>
      </c>
      <c r="H36" s="165">
        <f t="shared" si="8"/>
        <v>-37986</v>
      </c>
      <c r="I36" s="165">
        <f t="shared" si="8"/>
        <v>-15014</v>
      </c>
      <c r="J36" s="165">
        <f t="shared" si="8"/>
        <v>-231949</v>
      </c>
      <c r="K36" s="165">
        <f t="shared" si="8"/>
        <v>-210476</v>
      </c>
      <c r="L36" s="165">
        <f t="shared" si="8"/>
        <v>-104662</v>
      </c>
      <c r="M36" s="165">
        <f t="shared" si="8"/>
        <v>-279238</v>
      </c>
      <c r="N36" s="165">
        <f t="shared" si="8"/>
        <v>-287513</v>
      </c>
      <c r="O36" s="165">
        <f t="shared" si="8"/>
        <v>-448000</v>
      </c>
      <c r="P36" s="166"/>
      <c r="R36" s="53"/>
      <c r="S36" s="139">
        <v>1003737</v>
      </c>
      <c r="T36" s="274">
        <f t="shared" si="2"/>
        <v>83644.75</v>
      </c>
    </row>
    <row r="37" spans="1:20" x14ac:dyDescent="0.25">
      <c r="A37" s="114"/>
      <c r="B37" s="64"/>
      <c r="C37" s="754"/>
      <c r="D37" s="44"/>
      <c r="E37" s="44"/>
      <c r="F37" s="44"/>
      <c r="G37" s="44"/>
      <c r="H37" s="44"/>
      <c r="I37" s="44"/>
      <c r="J37" s="14"/>
      <c r="R37" s="53"/>
      <c r="S37" s="168">
        <v>0</v>
      </c>
      <c r="T37" s="274">
        <f t="shared" si="2"/>
        <v>0</v>
      </c>
    </row>
    <row r="38" spans="1:20" x14ac:dyDescent="0.25">
      <c r="A38" s="68"/>
      <c r="B38" s="117"/>
      <c r="C38" s="755"/>
      <c r="D38" s="50"/>
      <c r="E38" s="50"/>
      <c r="F38" s="50"/>
      <c r="G38" s="50"/>
      <c r="H38" s="50"/>
      <c r="I38" s="50"/>
      <c r="J38" s="14"/>
      <c r="R38" s="53"/>
      <c r="S38" s="139">
        <v>4204922</v>
      </c>
      <c r="T38" s="274">
        <f t="shared" si="2"/>
        <v>350410.16666666669</v>
      </c>
    </row>
    <row r="39" spans="1:20" x14ac:dyDescent="0.25">
      <c r="A39" s="68"/>
      <c r="B39" s="117"/>
      <c r="C39" s="755"/>
      <c r="D39" s="50"/>
      <c r="E39" s="50"/>
      <c r="F39" s="50"/>
      <c r="G39" s="50"/>
      <c r="H39" s="50"/>
      <c r="I39" s="50"/>
      <c r="J39" s="14"/>
      <c r="R39" s="53"/>
    </row>
    <row r="40" spans="1:20" x14ac:dyDescent="0.25">
      <c r="A40" s="68"/>
      <c r="B40" s="118"/>
      <c r="C40" s="756"/>
      <c r="D40" s="35"/>
      <c r="E40" s="46"/>
      <c r="F40" s="46"/>
      <c r="G40" s="46"/>
      <c r="H40" s="46"/>
      <c r="I40" s="46"/>
      <c r="J40" s="14"/>
      <c r="R40" s="53"/>
    </row>
    <row r="41" spans="1:20" x14ac:dyDescent="0.25">
      <c r="A41" s="114"/>
      <c r="B41" s="64"/>
      <c r="C41" s="754"/>
      <c r="D41" s="44"/>
      <c r="E41" s="44"/>
      <c r="F41" s="44"/>
      <c r="G41" s="44"/>
      <c r="H41" s="44"/>
      <c r="I41" s="44"/>
      <c r="J41" s="14"/>
    </row>
    <row r="42" spans="1:20" x14ac:dyDescent="0.25">
      <c r="A42" s="68"/>
      <c r="B42" s="117"/>
      <c r="C42" s="755"/>
      <c r="D42" s="120"/>
      <c r="E42" s="120"/>
      <c r="F42" s="120"/>
      <c r="G42" s="120"/>
      <c r="H42" s="120"/>
      <c r="I42" s="120"/>
      <c r="J42" s="14"/>
    </row>
    <row r="43" spans="1:20" x14ac:dyDescent="0.25">
      <c r="A43" s="68"/>
      <c r="B43" s="119"/>
      <c r="C43" s="757"/>
      <c r="D43" s="121"/>
      <c r="E43" s="121"/>
      <c r="F43" s="121"/>
      <c r="G43" s="121"/>
      <c r="H43" s="121"/>
      <c r="I43" s="121"/>
      <c r="J43" s="14"/>
    </row>
    <row r="44" spans="1:20" x14ac:dyDescent="0.25">
      <c r="A44" s="114"/>
      <c r="B44" s="42"/>
      <c r="C44" s="758"/>
      <c r="D44" s="38"/>
      <c r="E44" s="38"/>
      <c r="F44" s="38"/>
      <c r="G44" s="38"/>
      <c r="H44" s="38"/>
      <c r="I44" s="38"/>
    </row>
  </sheetData>
  <mergeCells count="4">
    <mergeCell ref="A1:F1"/>
    <mergeCell ref="A2:F2"/>
    <mergeCell ref="N1:P2"/>
    <mergeCell ref="O3:P3"/>
  </mergeCells>
  <phoneticPr fontId="3" type="noConversion"/>
  <pageMargins left="0.43" right="0.51181102362204722" top="0.18" bottom="0.15748031496062992" header="0.22" footer="0.24"/>
  <pageSetup paperSize="9" scale="88" orientation="landscape" r:id="rId1"/>
  <headerFooter>
    <oddHeader xml:space="preserve">&amp;R   </oddHeader>
  </headerFooter>
  <colBreaks count="1" manualBreakCount="1">
    <brk id="16" max="3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40"/>
  <sheetViews>
    <sheetView view="pageBreakPreview" zoomScaleNormal="100" zoomScaleSheetLayoutView="100" workbookViewId="0">
      <selection activeCell="L1" sqref="L1:O2"/>
    </sheetView>
  </sheetViews>
  <sheetFormatPr defaultColWidth="9.28515625" defaultRowHeight="15" x14ac:dyDescent="0.25"/>
  <cols>
    <col min="1" max="1" width="4.7109375" customWidth="1"/>
    <col min="2" max="2" width="39.7109375" customWidth="1"/>
    <col min="3" max="3" width="7.42578125" customWidth="1"/>
    <col min="4" max="4" width="7.7109375" customWidth="1"/>
    <col min="5" max="5" width="7.28515625" customWidth="1"/>
    <col min="6" max="10" width="7.42578125" customWidth="1"/>
    <col min="11" max="11" width="8.7109375" bestFit="1" customWidth="1"/>
    <col min="12" max="12" width="7.42578125" customWidth="1"/>
    <col min="13" max="14" width="7.7109375" bestFit="1" customWidth="1"/>
    <col min="15" max="15" width="8.7109375" customWidth="1"/>
  </cols>
  <sheetData>
    <row r="1" spans="1:18" ht="15" customHeight="1" x14ac:dyDescent="0.25">
      <c r="A1" s="919" t="s">
        <v>75</v>
      </c>
      <c r="B1" s="919"/>
      <c r="C1" s="919"/>
      <c r="D1" s="919"/>
      <c r="E1" s="919"/>
      <c r="F1" s="919"/>
      <c r="G1" s="919"/>
      <c r="H1" s="116"/>
      <c r="I1" s="116"/>
      <c r="J1" s="116"/>
      <c r="K1" s="116"/>
      <c r="L1" s="873" t="s">
        <v>514</v>
      </c>
      <c r="M1" s="946"/>
      <c r="N1" s="946"/>
      <c r="O1" s="946"/>
    </row>
    <row r="2" spans="1:18" ht="23.25" customHeight="1" x14ac:dyDescent="0.25">
      <c r="A2" s="919" t="s">
        <v>339</v>
      </c>
      <c r="B2" s="945"/>
      <c r="C2" s="945"/>
      <c r="D2" s="945"/>
      <c r="E2" s="945"/>
      <c r="F2" s="945"/>
      <c r="G2" s="945"/>
      <c r="H2" s="116"/>
      <c r="I2" s="116"/>
      <c r="J2" s="116"/>
      <c r="K2" s="116"/>
      <c r="L2" s="946"/>
      <c r="M2" s="946"/>
      <c r="N2" s="946"/>
      <c r="O2" s="946"/>
      <c r="Q2" s="53"/>
    </row>
    <row r="3" spans="1:18" ht="14.25" customHeight="1" x14ac:dyDescent="0.25">
      <c r="A3" s="116"/>
      <c r="B3" s="3"/>
      <c r="C3" s="3"/>
      <c r="D3" s="3"/>
      <c r="E3" s="3"/>
      <c r="F3" s="3"/>
      <c r="G3" s="3"/>
      <c r="H3" s="116"/>
      <c r="I3" s="116"/>
      <c r="J3" s="116"/>
      <c r="K3" s="116"/>
      <c r="L3" s="127" t="s">
        <v>205</v>
      </c>
      <c r="M3" s="123"/>
      <c r="N3" s="947" t="s">
        <v>400</v>
      </c>
      <c r="O3" s="947"/>
      <c r="Q3" s="53"/>
    </row>
    <row r="4" spans="1:18" ht="14.1" customHeight="1" x14ac:dyDescent="0.25">
      <c r="A4" s="145" t="s">
        <v>125</v>
      </c>
      <c r="B4" s="145" t="s">
        <v>46</v>
      </c>
      <c r="C4" s="145" t="s">
        <v>190</v>
      </c>
      <c r="D4" s="145" t="s">
        <v>191</v>
      </c>
      <c r="E4" s="145" t="s">
        <v>192</v>
      </c>
      <c r="F4" s="145" t="s">
        <v>193</v>
      </c>
      <c r="G4" s="145" t="s">
        <v>194</v>
      </c>
      <c r="H4" s="145" t="s">
        <v>299</v>
      </c>
      <c r="I4" s="145" t="s">
        <v>195</v>
      </c>
      <c r="J4" s="145" t="s">
        <v>196</v>
      </c>
      <c r="K4" s="145" t="s">
        <v>197</v>
      </c>
      <c r="L4" s="145" t="s">
        <v>198</v>
      </c>
      <c r="M4" s="145" t="s">
        <v>199</v>
      </c>
      <c r="N4" s="145" t="s">
        <v>200</v>
      </c>
      <c r="O4" s="145" t="s">
        <v>37</v>
      </c>
      <c r="Q4" s="53"/>
    </row>
    <row r="5" spans="1:18" ht="14.1" customHeight="1" x14ac:dyDescent="0.25">
      <c r="A5" s="95" t="s">
        <v>12</v>
      </c>
      <c r="B5" s="101" t="s">
        <v>103</v>
      </c>
      <c r="C5" s="124">
        <f>C6+C7+C8+C9+C10+C13</f>
        <v>186518</v>
      </c>
      <c r="D5" s="124">
        <f t="shared" ref="D5:N5" si="0">D6+D7+D8+D9+D10+D13</f>
        <v>178999</v>
      </c>
      <c r="E5" s="124">
        <f t="shared" si="0"/>
        <v>180800</v>
      </c>
      <c r="F5" s="124">
        <f t="shared" si="0"/>
        <v>217472</v>
      </c>
      <c r="G5" s="124">
        <f t="shared" si="0"/>
        <v>199465</v>
      </c>
      <c r="H5" s="124">
        <f t="shared" si="0"/>
        <v>193544</v>
      </c>
      <c r="I5" s="124">
        <f t="shared" si="0"/>
        <v>195465</v>
      </c>
      <c r="J5" s="124">
        <f t="shared" si="0"/>
        <v>196465</v>
      </c>
      <c r="K5" s="124">
        <f t="shared" si="0"/>
        <v>196466</v>
      </c>
      <c r="L5" s="124">
        <f t="shared" si="0"/>
        <v>210469</v>
      </c>
      <c r="M5" s="124">
        <f t="shared" si="0"/>
        <v>193463</v>
      </c>
      <c r="N5" s="124">
        <f t="shared" si="0"/>
        <v>216473</v>
      </c>
      <c r="O5" s="124">
        <f>C5+D5+E5+F5+G5+H5+I5+J5+K5+L5+M5+N5</f>
        <v>2365599</v>
      </c>
      <c r="Q5" s="139">
        <v>2145157</v>
      </c>
    </row>
    <row r="6" spans="1:18" ht="14.1" customHeight="1" x14ac:dyDescent="0.25">
      <c r="A6" s="28" t="s">
        <v>59</v>
      </c>
      <c r="B6" s="19" t="s">
        <v>7</v>
      </c>
      <c r="C6" s="29">
        <v>67892</v>
      </c>
      <c r="D6" s="29">
        <v>67892</v>
      </c>
      <c r="E6" s="144">
        <v>67892</v>
      </c>
      <c r="F6" s="144">
        <v>67892</v>
      </c>
      <c r="G6" s="144">
        <v>67892</v>
      </c>
      <c r="H6" s="144">
        <v>67892</v>
      </c>
      <c r="I6" s="144">
        <v>67892</v>
      </c>
      <c r="J6" s="144">
        <v>67892</v>
      </c>
      <c r="K6" s="144">
        <v>67892</v>
      </c>
      <c r="L6" s="144">
        <v>67892</v>
      </c>
      <c r="M6" s="144">
        <v>67892</v>
      </c>
      <c r="N6" s="144">
        <v>67896</v>
      </c>
      <c r="O6" s="124">
        <f t="shared" ref="O6:O25" si="1">C6+D6+E6+F6+G6+H6+I6+J6+K6+L6+M6+N6</f>
        <v>814708</v>
      </c>
      <c r="P6" s="178">
        <f t="shared" ref="P6:P12" si="2">+Q6/12</f>
        <v>67892.333333333328</v>
      </c>
      <c r="Q6" s="139">
        <v>814708</v>
      </c>
    </row>
    <row r="7" spans="1:18" ht="13.5" customHeight="1" x14ac:dyDescent="0.25">
      <c r="A7" s="28" t="s">
        <v>60</v>
      </c>
      <c r="B7" s="19" t="s">
        <v>201</v>
      </c>
      <c r="C7" s="29">
        <v>12653</v>
      </c>
      <c r="D7" s="29">
        <v>12653</v>
      </c>
      <c r="E7" s="29">
        <v>12653</v>
      </c>
      <c r="F7" s="29">
        <v>12653</v>
      </c>
      <c r="G7" s="29">
        <v>12653</v>
      </c>
      <c r="H7" s="29">
        <v>12653</v>
      </c>
      <c r="I7" s="29">
        <v>12653</v>
      </c>
      <c r="J7" s="29">
        <v>12653</v>
      </c>
      <c r="K7" s="29">
        <v>12653</v>
      </c>
      <c r="L7" s="29">
        <v>12653</v>
      </c>
      <c r="M7" s="144">
        <v>12651</v>
      </c>
      <c r="N7" s="144">
        <v>12651</v>
      </c>
      <c r="O7" s="124">
        <f t="shared" si="1"/>
        <v>151832</v>
      </c>
      <c r="P7" s="178">
        <f t="shared" si="2"/>
        <v>12652.666666666666</v>
      </c>
      <c r="Q7" s="139">
        <v>151832</v>
      </c>
    </row>
    <row r="8" spans="1:18" ht="14.1" customHeight="1" x14ac:dyDescent="0.25">
      <c r="A8" s="28" t="s">
        <v>61</v>
      </c>
      <c r="B8" s="19" t="s">
        <v>108</v>
      </c>
      <c r="C8" s="29">
        <v>58272</v>
      </c>
      <c r="D8" s="29">
        <v>58272</v>
      </c>
      <c r="E8" s="29">
        <v>58272</v>
      </c>
      <c r="F8" s="29">
        <v>58272</v>
      </c>
      <c r="G8" s="29">
        <v>58272</v>
      </c>
      <c r="H8" s="29">
        <v>58272</v>
      </c>
      <c r="I8" s="29">
        <v>58272</v>
      </c>
      <c r="J8" s="29">
        <v>58272</v>
      </c>
      <c r="K8" s="29">
        <v>58272</v>
      </c>
      <c r="L8" s="29">
        <v>58272</v>
      </c>
      <c r="M8" s="29">
        <v>58272</v>
      </c>
      <c r="N8" s="29">
        <v>58273</v>
      </c>
      <c r="O8" s="124">
        <f t="shared" si="1"/>
        <v>699265</v>
      </c>
      <c r="P8" s="178">
        <f t="shared" si="2"/>
        <v>58272.083333333336</v>
      </c>
      <c r="Q8" s="139">
        <v>699265</v>
      </c>
    </row>
    <row r="9" spans="1:18" ht="14.1" customHeight="1" x14ac:dyDescent="0.25">
      <c r="A9" s="28" t="s">
        <v>62</v>
      </c>
      <c r="B9" s="19" t="s">
        <v>109</v>
      </c>
      <c r="C9" s="29">
        <v>1416</v>
      </c>
      <c r="D9" s="29">
        <v>1416</v>
      </c>
      <c r="E9" s="29">
        <v>1417</v>
      </c>
      <c r="F9" s="29">
        <v>1416</v>
      </c>
      <c r="G9" s="29">
        <v>1416</v>
      </c>
      <c r="H9" s="29">
        <v>1417</v>
      </c>
      <c r="I9" s="29">
        <v>1416</v>
      </c>
      <c r="J9" s="29">
        <v>1416</v>
      </c>
      <c r="K9" s="144">
        <v>1417</v>
      </c>
      <c r="L9" s="144">
        <v>1416</v>
      </c>
      <c r="M9" s="144">
        <v>1416</v>
      </c>
      <c r="N9" s="144">
        <v>1421</v>
      </c>
      <c r="O9" s="124">
        <f t="shared" si="1"/>
        <v>17000</v>
      </c>
      <c r="P9" s="178">
        <f t="shared" si="2"/>
        <v>1416.6666666666667</v>
      </c>
      <c r="Q9" s="139">
        <v>17000</v>
      </c>
    </row>
    <row r="10" spans="1:18" ht="14.1" customHeight="1" x14ac:dyDescent="0.25">
      <c r="A10" s="28" t="s">
        <v>63</v>
      </c>
      <c r="B10" s="19" t="s">
        <v>110</v>
      </c>
      <c r="C10" s="29">
        <f>SUM(C11:C12)</f>
        <v>46285</v>
      </c>
      <c r="D10" s="29">
        <f t="shared" ref="D10:N10" si="3">SUM(D11:D12)</f>
        <v>38766</v>
      </c>
      <c r="E10" s="29">
        <f t="shared" si="3"/>
        <v>38566</v>
      </c>
      <c r="F10" s="29">
        <f t="shared" si="3"/>
        <v>62239</v>
      </c>
      <c r="G10" s="29">
        <f t="shared" si="3"/>
        <v>44232</v>
      </c>
      <c r="H10" s="29">
        <f t="shared" si="3"/>
        <v>43310</v>
      </c>
      <c r="I10" s="29">
        <f t="shared" si="3"/>
        <v>45232</v>
      </c>
      <c r="J10" s="29">
        <f t="shared" si="3"/>
        <v>41232</v>
      </c>
      <c r="K10" s="29">
        <f t="shared" si="3"/>
        <v>41232</v>
      </c>
      <c r="L10" s="29">
        <f t="shared" si="3"/>
        <v>58236</v>
      </c>
      <c r="M10" s="29">
        <f t="shared" si="3"/>
        <v>41232</v>
      </c>
      <c r="N10" s="29">
        <f t="shared" si="3"/>
        <v>68232</v>
      </c>
      <c r="O10" s="124">
        <f t="shared" si="1"/>
        <v>568794</v>
      </c>
      <c r="P10" s="178">
        <f t="shared" si="2"/>
        <v>47399.5</v>
      </c>
      <c r="Q10" s="139">
        <v>568794</v>
      </c>
    </row>
    <row r="11" spans="1:18" ht="23.25" x14ac:dyDescent="0.25">
      <c r="A11" s="100" t="s">
        <v>104</v>
      </c>
      <c r="B11" s="19" t="s">
        <v>111</v>
      </c>
      <c r="C11" s="29">
        <v>20080</v>
      </c>
      <c r="D11" s="29">
        <v>19316</v>
      </c>
      <c r="E11" s="29">
        <v>19116</v>
      </c>
      <c r="F11" s="29">
        <v>21782</v>
      </c>
      <c r="G11" s="29">
        <f>21782+3000</f>
        <v>24782</v>
      </c>
      <c r="H11" s="29">
        <f>21782+2078</f>
        <v>23860</v>
      </c>
      <c r="I11" s="29">
        <f>21782+4000</f>
        <v>25782</v>
      </c>
      <c r="J11" s="29">
        <v>21782</v>
      </c>
      <c r="K11" s="29">
        <v>21782</v>
      </c>
      <c r="L11" s="29">
        <v>21782</v>
      </c>
      <c r="M11" s="29">
        <v>21782</v>
      </c>
      <c r="N11" s="29">
        <f>21782+27000</f>
        <v>48782</v>
      </c>
      <c r="O11" s="124">
        <f t="shared" si="1"/>
        <v>290628</v>
      </c>
      <c r="P11" s="178">
        <f t="shared" si="2"/>
        <v>24219</v>
      </c>
      <c r="Q11" s="139">
        <v>290628</v>
      </c>
      <c r="R11" s="14"/>
    </row>
    <row r="12" spans="1:18" ht="23.25" x14ac:dyDescent="0.25">
      <c r="A12" s="100" t="s">
        <v>105</v>
      </c>
      <c r="B12" s="19" t="s">
        <v>112</v>
      </c>
      <c r="C12" s="29">
        <f>19450+6755</f>
        <v>26205</v>
      </c>
      <c r="D12" s="29">
        <v>19450</v>
      </c>
      <c r="E12" s="29">
        <v>19450</v>
      </c>
      <c r="F12" s="29">
        <f>19450+4507+16500</f>
        <v>40457</v>
      </c>
      <c r="G12" s="29">
        <v>19450</v>
      </c>
      <c r="H12" s="29">
        <v>19450</v>
      </c>
      <c r="I12" s="29">
        <v>19450</v>
      </c>
      <c r="J12" s="29">
        <v>19450</v>
      </c>
      <c r="K12" s="29">
        <v>19450</v>
      </c>
      <c r="L12" s="29">
        <v>36454</v>
      </c>
      <c r="M12" s="29">
        <v>19450</v>
      </c>
      <c r="N12" s="29">
        <v>19450</v>
      </c>
      <c r="O12" s="124">
        <f t="shared" si="1"/>
        <v>278166</v>
      </c>
      <c r="P12" s="178">
        <f t="shared" si="2"/>
        <v>23180.5</v>
      </c>
      <c r="Q12" s="139">
        <v>278166</v>
      </c>
      <c r="R12" s="14"/>
    </row>
    <row r="13" spans="1:18" ht="14.1" customHeight="1" x14ac:dyDescent="0.25">
      <c r="A13" s="100" t="s">
        <v>106</v>
      </c>
      <c r="B13" s="19" t="s">
        <v>9</v>
      </c>
      <c r="C13" s="29">
        <v>0</v>
      </c>
      <c r="D13" s="29">
        <v>0</v>
      </c>
      <c r="E13" s="29">
        <v>2000</v>
      </c>
      <c r="F13" s="29">
        <v>15000</v>
      </c>
      <c r="G13" s="29">
        <v>15000</v>
      </c>
      <c r="H13" s="29">
        <v>10000</v>
      </c>
      <c r="I13" s="29">
        <v>10000</v>
      </c>
      <c r="J13" s="29">
        <v>15000</v>
      </c>
      <c r="K13" s="29">
        <v>15000</v>
      </c>
      <c r="L13" s="29">
        <v>12000</v>
      </c>
      <c r="M13" s="29">
        <v>12000</v>
      </c>
      <c r="N13" s="29">
        <v>8000</v>
      </c>
      <c r="O13" s="124">
        <f t="shared" si="1"/>
        <v>114000</v>
      </c>
      <c r="P13" s="178">
        <f>+Q13/10</f>
        <v>11400</v>
      </c>
      <c r="Q13" s="139">
        <v>114000</v>
      </c>
    </row>
    <row r="14" spans="1:18" ht="14.1" customHeight="1" x14ac:dyDescent="0.25">
      <c r="A14" s="100" t="s">
        <v>13</v>
      </c>
      <c r="B14" s="19" t="s">
        <v>113</v>
      </c>
      <c r="C14" s="29">
        <f>SUM(C15:C17)</f>
        <v>0</v>
      </c>
      <c r="D14" s="29">
        <f t="shared" ref="D14:N14" si="4">SUM(D15:D17)</f>
        <v>0</v>
      </c>
      <c r="E14" s="29">
        <f t="shared" si="4"/>
        <v>0</v>
      </c>
      <c r="F14" s="29">
        <f t="shared" si="4"/>
        <v>185000</v>
      </c>
      <c r="G14" s="29">
        <f t="shared" si="4"/>
        <v>230000</v>
      </c>
      <c r="H14" s="29">
        <f t="shared" si="4"/>
        <v>0</v>
      </c>
      <c r="I14" s="29">
        <f t="shared" si="4"/>
        <v>175000</v>
      </c>
      <c r="J14" s="29">
        <f t="shared" si="4"/>
        <v>150000</v>
      </c>
      <c r="K14" s="29">
        <f t="shared" si="4"/>
        <v>452758</v>
      </c>
      <c r="L14" s="29">
        <f t="shared" si="4"/>
        <v>143995</v>
      </c>
      <c r="M14" s="29">
        <f t="shared" si="4"/>
        <v>50000</v>
      </c>
      <c r="N14" s="29">
        <f t="shared" si="4"/>
        <v>200000</v>
      </c>
      <c r="O14" s="124">
        <f t="shared" si="1"/>
        <v>1586753</v>
      </c>
      <c r="P14" s="178">
        <f t="shared" ref="P14:P25" si="5">+Q14/12</f>
        <v>167801.08333333334</v>
      </c>
      <c r="Q14" s="139">
        <v>2013613</v>
      </c>
    </row>
    <row r="15" spans="1:18" ht="14.1" customHeight="1" x14ac:dyDescent="0.25">
      <c r="A15" s="100" t="s">
        <v>54</v>
      </c>
      <c r="B15" s="19" t="s">
        <v>10</v>
      </c>
      <c r="C15" s="29">
        <v>0</v>
      </c>
      <c r="D15" s="29">
        <v>0</v>
      </c>
      <c r="E15" s="29">
        <v>0</v>
      </c>
      <c r="F15" s="29">
        <f>125000+60000</f>
        <v>185000</v>
      </c>
      <c r="G15" s="29">
        <f>80000+100000</f>
        <v>180000</v>
      </c>
      <c r="H15" s="29">
        <v>0</v>
      </c>
      <c r="I15" s="29">
        <v>100000</v>
      </c>
      <c r="J15" s="29">
        <v>150000</v>
      </c>
      <c r="K15" s="29">
        <v>452758</v>
      </c>
      <c r="L15" s="29">
        <v>143995</v>
      </c>
      <c r="M15" s="29">
        <v>50000</v>
      </c>
      <c r="N15" s="29">
        <v>200000</v>
      </c>
      <c r="O15" s="124">
        <f t="shared" si="1"/>
        <v>1461753</v>
      </c>
      <c r="P15" s="178">
        <f t="shared" si="5"/>
        <v>121812.75</v>
      </c>
      <c r="Q15" s="139">
        <v>1461753</v>
      </c>
      <c r="R15" s="14"/>
    </row>
    <row r="16" spans="1:18" ht="14.1" customHeight="1" x14ac:dyDescent="0.25">
      <c r="A16" s="100" t="s">
        <v>55</v>
      </c>
      <c r="B16" s="19" t="s">
        <v>11</v>
      </c>
      <c r="C16" s="139">
        <v>0</v>
      </c>
      <c r="D16" s="29">
        <v>0</v>
      </c>
      <c r="E16" s="29">
        <v>0</v>
      </c>
      <c r="F16" s="29">
        <v>0</v>
      </c>
      <c r="G16" s="29">
        <v>50000</v>
      </c>
      <c r="H16" s="29">
        <v>0</v>
      </c>
      <c r="I16" s="29">
        <v>75000</v>
      </c>
      <c r="J16" s="29">
        <v>0</v>
      </c>
      <c r="K16" s="29">
        <v>0</v>
      </c>
      <c r="L16" s="29">
        <v>0</v>
      </c>
      <c r="M16" s="29">
        <v>0</v>
      </c>
      <c r="N16" s="144">
        <v>0</v>
      </c>
      <c r="O16" s="124">
        <f t="shared" si="1"/>
        <v>125000</v>
      </c>
      <c r="P16" s="178">
        <f t="shared" si="5"/>
        <v>10416.666666666666</v>
      </c>
      <c r="Q16" s="139">
        <v>125000</v>
      </c>
      <c r="R16" s="14"/>
    </row>
    <row r="17" spans="1:17" ht="14.1" customHeight="1" x14ac:dyDescent="0.25">
      <c r="A17" s="100" t="s">
        <v>64</v>
      </c>
      <c r="B17" s="19" t="s">
        <v>114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144">
        <v>0</v>
      </c>
      <c r="O17" s="124">
        <f t="shared" si="1"/>
        <v>0</v>
      </c>
      <c r="P17" s="178">
        <f t="shared" si="5"/>
        <v>0</v>
      </c>
      <c r="Q17" s="139">
        <v>0</v>
      </c>
    </row>
    <row r="18" spans="1:17" ht="14.1" customHeight="1" x14ac:dyDescent="0.25">
      <c r="A18" s="100" t="s">
        <v>14</v>
      </c>
      <c r="B18" s="18" t="s">
        <v>115</v>
      </c>
      <c r="C18" s="29">
        <f>C5+C14</f>
        <v>186518</v>
      </c>
      <c r="D18" s="29">
        <f t="shared" ref="D18:O18" si="6">D5+D14</f>
        <v>178999</v>
      </c>
      <c r="E18" s="29">
        <f t="shared" si="6"/>
        <v>180800</v>
      </c>
      <c r="F18" s="29">
        <f t="shared" si="6"/>
        <v>402472</v>
      </c>
      <c r="G18" s="29">
        <f t="shared" si="6"/>
        <v>429465</v>
      </c>
      <c r="H18" s="29">
        <f t="shared" si="6"/>
        <v>193544</v>
      </c>
      <c r="I18" s="29">
        <f t="shared" si="6"/>
        <v>370465</v>
      </c>
      <c r="J18" s="29">
        <f t="shared" si="6"/>
        <v>346465</v>
      </c>
      <c r="K18" s="29">
        <f t="shared" si="6"/>
        <v>649224</v>
      </c>
      <c r="L18" s="29">
        <f t="shared" si="6"/>
        <v>354464</v>
      </c>
      <c r="M18" s="29">
        <f t="shared" si="6"/>
        <v>243463</v>
      </c>
      <c r="N18" s="29">
        <f t="shared" si="6"/>
        <v>416473</v>
      </c>
      <c r="O18" s="29">
        <f t="shared" si="6"/>
        <v>3952352</v>
      </c>
      <c r="P18" s="178">
        <f t="shared" si="5"/>
        <v>346564.16666666669</v>
      </c>
      <c r="Q18" s="139">
        <v>4158770</v>
      </c>
    </row>
    <row r="19" spans="1:17" ht="14.1" customHeight="1" x14ac:dyDescent="0.25">
      <c r="A19" s="28" t="s">
        <v>15</v>
      </c>
      <c r="B19" s="19" t="s">
        <v>202</v>
      </c>
      <c r="C19" s="29">
        <v>3846</v>
      </c>
      <c r="D19" s="29">
        <v>3846</v>
      </c>
      <c r="E19" s="29">
        <v>3846</v>
      </c>
      <c r="F19" s="29">
        <v>3846</v>
      </c>
      <c r="G19" s="29">
        <v>3846</v>
      </c>
      <c r="H19" s="29">
        <v>3846</v>
      </c>
      <c r="I19" s="29">
        <f t="shared" ref="I19:N19" si="7">3846+2536</f>
        <v>6382</v>
      </c>
      <c r="J19" s="29">
        <f t="shared" si="7"/>
        <v>6382</v>
      </c>
      <c r="K19" s="29">
        <f t="shared" si="7"/>
        <v>6382</v>
      </c>
      <c r="L19" s="29">
        <f t="shared" si="7"/>
        <v>6382</v>
      </c>
      <c r="M19" s="29">
        <f t="shared" si="7"/>
        <v>6382</v>
      </c>
      <c r="N19" s="29">
        <f t="shared" si="7"/>
        <v>6382</v>
      </c>
      <c r="O19" s="124">
        <f t="shared" si="1"/>
        <v>61368</v>
      </c>
      <c r="P19" s="178">
        <f t="shared" si="5"/>
        <v>3846</v>
      </c>
      <c r="Q19" s="139">
        <v>46152</v>
      </c>
    </row>
    <row r="20" spans="1:17" ht="14.1" customHeight="1" x14ac:dyDescent="0.25">
      <c r="A20" s="28" t="s">
        <v>16</v>
      </c>
      <c r="B20" s="19" t="s">
        <v>364</v>
      </c>
      <c r="C20" s="29">
        <v>32301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144">
        <v>0</v>
      </c>
      <c r="O20" s="124">
        <f t="shared" si="1"/>
        <v>32301</v>
      </c>
      <c r="P20" s="178">
        <f t="shared" si="5"/>
        <v>0</v>
      </c>
      <c r="Q20" s="139">
        <v>0</v>
      </c>
    </row>
    <row r="21" spans="1:17" ht="14.1" customHeight="1" x14ac:dyDescent="0.25">
      <c r="A21" s="28" t="s">
        <v>17</v>
      </c>
      <c r="B21" s="19" t="s">
        <v>117</v>
      </c>
      <c r="C21" s="144">
        <v>90078</v>
      </c>
      <c r="D21" s="144">
        <v>90078</v>
      </c>
      <c r="E21" s="144">
        <v>90078</v>
      </c>
      <c r="F21" s="144">
        <v>90078</v>
      </c>
      <c r="G21" s="144">
        <v>90078</v>
      </c>
      <c r="H21" s="144">
        <v>90078</v>
      </c>
      <c r="I21" s="78">
        <v>90078</v>
      </c>
      <c r="J21" s="78">
        <v>90078</v>
      </c>
      <c r="K21" s="78">
        <v>90078</v>
      </c>
      <c r="L21" s="78">
        <v>90078</v>
      </c>
      <c r="M21" s="78">
        <v>90078</v>
      </c>
      <c r="N21" s="78">
        <v>90078</v>
      </c>
      <c r="O21" s="124">
        <f t="shared" si="1"/>
        <v>1080936</v>
      </c>
      <c r="P21" s="178">
        <f t="shared" si="5"/>
        <v>90078</v>
      </c>
      <c r="Q21" s="139">
        <v>1080936</v>
      </c>
    </row>
    <row r="22" spans="1:17" ht="14.1" customHeight="1" x14ac:dyDescent="0.25">
      <c r="A22" s="28"/>
      <c r="B22" s="19" t="s">
        <v>118</v>
      </c>
      <c r="C22" s="144">
        <v>90078</v>
      </c>
      <c r="D22" s="144">
        <v>90078</v>
      </c>
      <c r="E22" s="144">
        <v>90078</v>
      </c>
      <c r="F22" s="144">
        <v>90078</v>
      </c>
      <c r="G22" s="144">
        <v>90078</v>
      </c>
      <c r="H22" s="144">
        <v>90078</v>
      </c>
      <c r="I22" s="78">
        <v>90078</v>
      </c>
      <c r="J22" s="78">
        <v>90078</v>
      </c>
      <c r="K22" s="78">
        <v>90078</v>
      </c>
      <c r="L22" s="78">
        <v>90078</v>
      </c>
      <c r="M22" s="78">
        <v>90078</v>
      </c>
      <c r="N22" s="78">
        <v>90078</v>
      </c>
      <c r="O22" s="124">
        <f t="shared" si="1"/>
        <v>1080936</v>
      </c>
      <c r="P22" s="178">
        <f t="shared" si="5"/>
        <v>90078</v>
      </c>
      <c r="Q22" s="139">
        <v>1080936</v>
      </c>
    </row>
    <row r="23" spans="1:17" ht="14.1" customHeight="1" x14ac:dyDescent="0.25">
      <c r="A23" s="28" t="s">
        <v>18</v>
      </c>
      <c r="B23" s="19" t="s">
        <v>119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144">
        <v>0</v>
      </c>
      <c r="O23" s="124">
        <f t="shared" si="1"/>
        <v>0</v>
      </c>
      <c r="P23" s="178">
        <f t="shared" si="5"/>
        <v>0</v>
      </c>
      <c r="Q23" s="139">
        <v>0</v>
      </c>
    </row>
    <row r="24" spans="1:17" ht="14.1" customHeight="1" x14ac:dyDescent="0.25">
      <c r="A24" s="28" t="s">
        <v>19</v>
      </c>
      <c r="B24" s="18" t="s">
        <v>120</v>
      </c>
      <c r="C24" s="29">
        <f>C19+C20+C21+C23</f>
        <v>126225</v>
      </c>
      <c r="D24" s="29">
        <f t="shared" ref="D24:N24" si="8">D19+D20+D21+D23</f>
        <v>93924</v>
      </c>
      <c r="E24" s="29">
        <f t="shared" si="8"/>
        <v>93924</v>
      </c>
      <c r="F24" s="29">
        <f t="shared" si="8"/>
        <v>93924</v>
      </c>
      <c r="G24" s="29">
        <f t="shared" si="8"/>
        <v>93924</v>
      </c>
      <c r="H24" s="29">
        <f t="shared" si="8"/>
        <v>93924</v>
      </c>
      <c r="I24" s="29">
        <f t="shared" si="8"/>
        <v>96460</v>
      </c>
      <c r="J24" s="29">
        <f t="shared" si="8"/>
        <v>96460</v>
      </c>
      <c r="K24" s="29">
        <f t="shared" si="8"/>
        <v>96460</v>
      </c>
      <c r="L24" s="29">
        <f t="shared" si="8"/>
        <v>96460</v>
      </c>
      <c r="M24" s="29">
        <f t="shared" si="8"/>
        <v>96460</v>
      </c>
      <c r="N24" s="29">
        <f t="shared" si="8"/>
        <v>96460</v>
      </c>
      <c r="O24" s="124">
        <f t="shared" si="1"/>
        <v>1174605</v>
      </c>
      <c r="P24" s="178">
        <f t="shared" si="5"/>
        <v>0</v>
      </c>
      <c r="Q24" s="139">
        <v>0</v>
      </c>
    </row>
    <row r="25" spans="1:17" ht="14.1" customHeight="1" x14ac:dyDescent="0.25">
      <c r="A25" s="99" t="s">
        <v>20</v>
      </c>
      <c r="B25" s="157" t="s">
        <v>121</v>
      </c>
      <c r="C25" s="139">
        <f>+C18+C24</f>
        <v>312743</v>
      </c>
      <c r="D25" s="139">
        <f t="shared" ref="D25:N25" si="9">+D18+D24</f>
        <v>272923</v>
      </c>
      <c r="E25" s="139">
        <f t="shared" si="9"/>
        <v>274724</v>
      </c>
      <c r="F25" s="139">
        <f t="shared" si="9"/>
        <v>496396</v>
      </c>
      <c r="G25" s="139">
        <f t="shared" si="9"/>
        <v>523389</v>
      </c>
      <c r="H25" s="139">
        <f t="shared" si="9"/>
        <v>287468</v>
      </c>
      <c r="I25" s="139">
        <f t="shared" si="9"/>
        <v>466925</v>
      </c>
      <c r="J25" s="139">
        <f t="shared" si="9"/>
        <v>442925</v>
      </c>
      <c r="K25" s="139">
        <f t="shared" si="9"/>
        <v>745684</v>
      </c>
      <c r="L25" s="139">
        <f t="shared" si="9"/>
        <v>450924</v>
      </c>
      <c r="M25" s="139">
        <f t="shared" si="9"/>
        <v>339923</v>
      </c>
      <c r="N25" s="139">
        <f t="shared" si="9"/>
        <v>512933</v>
      </c>
      <c r="O25" s="133">
        <f t="shared" si="1"/>
        <v>5126957</v>
      </c>
      <c r="P25" s="178">
        <f t="shared" si="5"/>
        <v>377520.91666666669</v>
      </c>
      <c r="Q25" s="53">
        <v>4530251</v>
      </c>
    </row>
    <row r="26" spans="1:17" ht="14.1" customHeight="1" x14ac:dyDescent="0.25">
      <c r="A26" s="104"/>
      <c r="B26" s="45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105"/>
      <c r="O26" s="50"/>
    </row>
    <row r="27" spans="1:17" ht="14.1" customHeight="1" x14ac:dyDescent="0.25">
      <c r="A27" s="104"/>
      <c r="B27" s="64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105"/>
      <c r="O27" s="50"/>
    </row>
    <row r="28" spans="1:17" ht="14.1" customHeight="1" x14ac:dyDescent="0.25">
      <c r="A28" s="104"/>
      <c r="B28" s="42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178">
        <f>+Q28/12</f>
        <v>76943.833333333328</v>
      </c>
      <c r="Q28" s="53">
        <v>923326</v>
      </c>
    </row>
    <row r="29" spans="1:17" ht="14.1" customHeight="1" x14ac:dyDescent="0.25">
      <c r="A29" s="104"/>
      <c r="B29" s="42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178">
        <f>+Q29/12</f>
        <v>0</v>
      </c>
      <c r="Q29" s="53">
        <v>0</v>
      </c>
    </row>
    <row r="30" spans="1:17" ht="14.1" customHeight="1" x14ac:dyDescent="0.25">
      <c r="A30" s="104"/>
      <c r="B30" s="42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178">
        <f>+Q30/12</f>
        <v>300577.08333333331</v>
      </c>
      <c r="Q30" s="53">
        <v>3606925</v>
      </c>
    </row>
    <row r="31" spans="1:17" ht="14.1" customHeight="1" x14ac:dyDescent="0.25">
      <c r="A31" s="104"/>
      <c r="B31" s="42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</row>
    <row r="32" spans="1:17" ht="14.1" customHeight="1" x14ac:dyDescent="0.25">
      <c r="A32" s="104"/>
      <c r="B32" s="42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</row>
    <row r="33" spans="1:15" x14ac:dyDescent="0.25">
      <c r="A33" s="104"/>
      <c r="B33" s="42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x14ac:dyDescent="0.25">
      <c r="A34" s="104"/>
      <c r="B34" s="42"/>
      <c r="C34" s="44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</row>
    <row r="35" spans="1:15" x14ac:dyDescent="0.25">
      <c r="A35" s="104"/>
      <c r="B35" s="42"/>
      <c r="C35" s="44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</row>
    <row r="36" spans="1:15" x14ac:dyDescent="0.25">
      <c r="A36" s="104"/>
      <c r="B36" s="6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</row>
    <row r="37" spans="1:15" x14ac:dyDescent="0.25">
      <c r="A37" s="104"/>
      <c r="B37" s="38"/>
      <c r="C37" s="6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</row>
    <row r="38" spans="1:15" s="128" customFormat="1" x14ac:dyDescent="0.25">
      <c r="A38" s="104"/>
      <c r="B38" s="38"/>
      <c r="C38" s="6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</row>
    <row r="40" spans="1:15" ht="21" customHeight="1" x14ac:dyDescent="0.25"/>
  </sheetData>
  <mergeCells count="4">
    <mergeCell ref="A1:G1"/>
    <mergeCell ref="A2:G2"/>
    <mergeCell ref="L1:O2"/>
    <mergeCell ref="N3:O3"/>
  </mergeCells>
  <phoneticPr fontId="3" type="noConversion"/>
  <pageMargins left="0.51181102362204722" right="0.45833333333333331" top="0.4" bottom="0.38" header="0.31496062992125984" footer="0.31496062992125984"/>
  <pageSetup paperSize="9" scale="89" orientation="landscape" r:id="rId1"/>
  <headerFooter>
    <oddFooter xml:space="preserve">&amp;R&amp;P/&amp;N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49"/>
  <sheetViews>
    <sheetView tabSelected="1" view="pageBreakPreview" zoomScale="90" zoomScaleNormal="100" zoomScaleSheetLayoutView="90" workbookViewId="0">
      <selection activeCell="G1" sqref="G1"/>
    </sheetView>
  </sheetViews>
  <sheetFormatPr defaultRowHeight="15" x14ac:dyDescent="0.25"/>
  <cols>
    <col min="1" max="1" width="8" customWidth="1"/>
    <col min="2" max="2" width="38.42578125" customWidth="1"/>
    <col min="3" max="4" width="15.28515625" style="181" customWidth="1"/>
    <col min="5" max="6" width="14.42578125" style="181" customWidth="1"/>
    <col min="7" max="7" width="64.7109375" customWidth="1"/>
    <col min="8" max="8" width="9.28515625" hidden="1" customWidth="1"/>
    <col min="9" max="9" width="13.5703125" customWidth="1"/>
  </cols>
  <sheetData>
    <row r="1" spans="1:8" ht="14.45" customHeight="1" x14ac:dyDescent="0.25">
      <c r="A1" s="181"/>
      <c r="C1" s="182"/>
      <c r="D1" s="182"/>
      <c r="E1" s="182"/>
      <c r="F1" s="182"/>
      <c r="G1" s="182" t="s">
        <v>626</v>
      </c>
      <c r="H1" s="479"/>
    </row>
    <row r="2" spans="1:8" x14ac:dyDescent="0.25">
      <c r="C2" s="250" t="s">
        <v>340</v>
      </c>
      <c r="D2" s="479"/>
      <c r="E2" s="479"/>
      <c r="F2" s="479"/>
      <c r="G2" s="479"/>
      <c r="H2" s="479"/>
    </row>
    <row r="4" spans="1:8" s="181" customFormat="1" x14ac:dyDescent="0.25">
      <c r="C4" s="952" t="s">
        <v>410</v>
      </c>
      <c r="D4" s="952"/>
      <c r="E4" s="952" t="s">
        <v>554</v>
      </c>
      <c r="F4" s="952"/>
    </row>
    <row r="5" spans="1:8" x14ac:dyDescent="0.25">
      <c r="A5" s="153"/>
      <c r="B5" s="428" t="s">
        <v>32</v>
      </c>
      <c r="C5" s="428" t="s">
        <v>552</v>
      </c>
      <c r="D5" s="428" t="s">
        <v>551</v>
      </c>
      <c r="E5" s="428" t="s">
        <v>552</v>
      </c>
      <c r="F5" s="428" t="s">
        <v>551</v>
      </c>
      <c r="G5" s="429" t="s">
        <v>412</v>
      </c>
    </row>
    <row r="6" spans="1:8" s="181" customFormat="1" x14ac:dyDescent="0.25">
      <c r="A6" s="949" t="s">
        <v>553</v>
      </c>
      <c r="B6" s="950"/>
      <c r="C6" s="428"/>
      <c r="D6" s="428"/>
      <c r="E6" s="428"/>
      <c r="F6" s="428"/>
      <c r="G6" s="553"/>
    </row>
    <row r="7" spans="1:8" ht="22.5" x14ac:dyDescent="0.25">
      <c r="A7" s="430" t="s">
        <v>244</v>
      </c>
      <c r="B7" s="431" t="s">
        <v>476</v>
      </c>
      <c r="C7" s="679">
        <v>25000000</v>
      </c>
      <c r="D7" s="679"/>
      <c r="E7" s="682">
        <v>1051000</v>
      </c>
      <c r="F7" s="682"/>
      <c r="G7" s="149"/>
    </row>
    <row r="8" spans="1:8" x14ac:dyDescent="0.25">
      <c r="A8" s="432" t="s">
        <v>366</v>
      </c>
      <c r="B8" s="433" t="s">
        <v>367</v>
      </c>
      <c r="C8" s="502">
        <v>125000000</v>
      </c>
      <c r="D8" s="502"/>
      <c r="E8" s="683">
        <v>138269000</v>
      </c>
      <c r="F8" s="683"/>
      <c r="G8" s="317" t="s">
        <v>477</v>
      </c>
    </row>
    <row r="9" spans="1:8" x14ac:dyDescent="0.25">
      <c r="A9" s="432" t="s">
        <v>245</v>
      </c>
      <c r="B9" s="433" t="s">
        <v>368</v>
      </c>
      <c r="C9" s="502">
        <v>80000000</v>
      </c>
      <c r="D9" s="502"/>
      <c r="E9" s="683">
        <v>27630000</v>
      </c>
      <c r="F9" s="683"/>
      <c r="G9" s="317" t="s">
        <v>477</v>
      </c>
    </row>
    <row r="10" spans="1:8" ht="22.5" x14ac:dyDescent="0.25">
      <c r="A10" s="430" t="s">
        <v>227</v>
      </c>
      <c r="B10" s="431" t="s">
        <v>478</v>
      </c>
      <c r="C10" s="679">
        <v>238710000</v>
      </c>
      <c r="D10" s="679"/>
      <c r="E10" s="682">
        <v>0</v>
      </c>
      <c r="F10" s="682"/>
      <c r="G10" s="149"/>
    </row>
    <row r="11" spans="1:8" ht="22.5" x14ac:dyDescent="0.25">
      <c r="A11" s="430" t="s">
        <v>370</v>
      </c>
      <c r="B11" s="431" t="s">
        <v>307</v>
      </c>
      <c r="C11" s="679">
        <v>60000000</v>
      </c>
      <c r="D11" s="679"/>
      <c r="E11" s="681">
        <v>61032000</v>
      </c>
      <c r="F11" s="682"/>
      <c r="G11" s="149"/>
    </row>
    <row r="12" spans="1:8" x14ac:dyDescent="0.25">
      <c r="A12" s="430" t="s">
        <v>228</v>
      </c>
      <c r="B12" s="431" t="s">
        <v>371</v>
      </c>
      <c r="C12" s="679">
        <v>60756000</v>
      </c>
      <c r="D12" s="679"/>
      <c r="E12" s="682">
        <v>0</v>
      </c>
      <c r="F12" s="682"/>
      <c r="G12" s="149"/>
    </row>
    <row r="13" spans="1:8" x14ac:dyDescent="0.25">
      <c r="A13" s="434" t="s">
        <v>479</v>
      </c>
      <c r="B13" s="435" t="s">
        <v>308</v>
      </c>
      <c r="C13" s="502">
        <v>452758000</v>
      </c>
      <c r="D13" s="502"/>
      <c r="E13" s="683">
        <v>0</v>
      </c>
      <c r="F13" s="683"/>
      <c r="G13" s="948" t="s">
        <v>480</v>
      </c>
    </row>
    <row r="14" spans="1:8" x14ac:dyDescent="0.25">
      <c r="A14" s="434" t="s">
        <v>481</v>
      </c>
      <c r="B14" s="435" t="s">
        <v>482</v>
      </c>
      <c r="C14" s="502"/>
      <c r="D14" s="502"/>
      <c r="E14" s="683">
        <v>58355000</v>
      </c>
      <c r="F14" s="683"/>
      <c r="G14" s="948"/>
    </row>
    <row r="15" spans="1:8" ht="22.5" x14ac:dyDescent="0.25">
      <c r="A15" s="434" t="s">
        <v>483</v>
      </c>
      <c r="B15" s="435" t="s">
        <v>484</v>
      </c>
      <c r="C15" s="502"/>
      <c r="D15" s="502"/>
      <c r="E15" s="685">
        <v>139100000</v>
      </c>
      <c r="F15" s="683"/>
      <c r="G15" s="317" t="s">
        <v>477</v>
      </c>
    </row>
    <row r="16" spans="1:8" ht="15.75" customHeight="1" x14ac:dyDescent="0.25">
      <c r="A16" s="430" t="s">
        <v>234</v>
      </c>
      <c r="B16" s="431" t="s">
        <v>374</v>
      </c>
      <c r="C16" s="679">
        <v>200000000</v>
      </c>
      <c r="D16" s="679"/>
      <c r="E16" s="681">
        <f>1012000+2235000</f>
        <v>3247000</v>
      </c>
      <c r="F16" s="682"/>
      <c r="G16" s="149"/>
    </row>
    <row r="17" spans="1:7" x14ac:dyDescent="0.25">
      <c r="A17" s="430" t="s">
        <v>247</v>
      </c>
      <c r="B17" s="436" t="s">
        <v>375</v>
      </c>
      <c r="C17" s="680">
        <v>30000000</v>
      </c>
      <c r="D17" s="680"/>
      <c r="E17" s="684">
        <v>0</v>
      </c>
      <c r="F17" s="684"/>
      <c r="G17" s="312"/>
    </row>
    <row r="18" spans="1:7" s="181" customFormat="1" x14ac:dyDescent="0.25">
      <c r="A18" s="430" t="s">
        <v>271</v>
      </c>
      <c r="B18" s="436" t="s">
        <v>376</v>
      </c>
      <c r="C18" s="680">
        <v>25000000</v>
      </c>
      <c r="D18" s="680"/>
      <c r="E18" s="684">
        <v>0</v>
      </c>
      <c r="F18" s="684"/>
      <c r="G18" s="312"/>
    </row>
    <row r="19" spans="1:7" x14ac:dyDescent="0.25">
      <c r="A19" s="430" t="s">
        <v>294</v>
      </c>
      <c r="B19" s="436" t="s">
        <v>398</v>
      </c>
      <c r="C19" s="680">
        <v>124244000</v>
      </c>
      <c r="D19" s="680"/>
      <c r="E19" s="684">
        <v>0</v>
      </c>
      <c r="F19" s="684"/>
      <c r="G19" s="312"/>
    </row>
    <row r="20" spans="1:7" x14ac:dyDescent="0.25">
      <c r="A20" s="437" t="s">
        <v>295</v>
      </c>
      <c r="B20" s="438" t="s">
        <v>399</v>
      </c>
      <c r="C20" s="680">
        <v>15000000</v>
      </c>
      <c r="D20" s="680"/>
      <c r="E20" s="684">
        <v>0</v>
      </c>
      <c r="F20" s="684"/>
      <c r="G20" s="312"/>
    </row>
    <row r="21" spans="1:7" x14ac:dyDescent="0.25">
      <c r="A21" s="430" t="s">
        <v>377</v>
      </c>
      <c r="B21" s="431" t="s">
        <v>485</v>
      </c>
      <c r="C21" s="679">
        <v>0</v>
      </c>
      <c r="D21" s="679"/>
      <c r="E21" s="682">
        <v>7974000</v>
      </c>
      <c r="F21" s="682"/>
      <c r="G21" s="149"/>
    </row>
    <row r="22" spans="1:7" x14ac:dyDescent="0.25">
      <c r="A22" s="430" t="s">
        <v>372</v>
      </c>
      <c r="B22" s="431" t="s">
        <v>311</v>
      </c>
      <c r="C22" s="679">
        <v>2360000</v>
      </c>
      <c r="D22" s="679"/>
      <c r="E22" s="681">
        <v>24325000</v>
      </c>
      <c r="F22" s="682"/>
      <c r="G22" s="149"/>
    </row>
    <row r="23" spans="1:7" x14ac:dyDescent="0.25">
      <c r="A23" s="430" t="s">
        <v>296</v>
      </c>
      <c r="B23" s="439" t="s">
        <v>486</v>
      </c>
      <c r="C23" s="502">
        <v>0</v>
      </c>
      <c r="D23" s="502"/>
      <c r="E23" s="683">
        <v>45001000</v>
      </c>
      <c r="F23" s="683"/>
      <c r="G23" s="317" t="s">
        <v>477</v>
      </c>
    </row>
    <row r="24" spans="1:7" x14ac:dyDescent="0.25">
      <c r="A24" s="430" t="s">
        <v>297</v>
      </c>
      <c r="B24" s="440" t="s">
        <v>487</v>
      </c>
      <c r="C24" s="679">
        <v>0</v>
      </c>
      <c r="D24" s="679"/>
      <c r="E24" s="681">
        <v>13241000</v>
      </c>
      <c r="F24" s="682"/>
      <c r="G24" s="149"/>
    </row>
    <row r="25" spans="1:7" x14ac:dyDescent="0.25">
      <c r="A25" s="430" t="s">
        <v>488</v>
      </c>
      <c r="B25" s="440" t="s">
        <v>489</v>
      </c>
      <c r="C25" s="679">
        <v>0</v>
      </c>
      <c r="D25" s="679"/>
      <c r="E25" s="681">
        <v>7427000</v>
      </c>
      <c r="F25" s="682"/>
      <c r="G25" s="149"/>
    </row>
    <row r="26" spans="1:7" x14ac:dyDescent="0.25">
      <c r="A26" s="432" t="s">
        <v>490</v>
      </c>
      <c r="B26" s="431" t="s">
        <v>373</v>
      </c>
      <c r="C26" s="371"/>
      <c r="D26" s="679">
        <v>125000000</v>
      </c>
      <c r="E26" s="687"/>
      <c r="F26" s="681">
        <v>14289000</v>
      </c>
      <c r="G26" s="149"/>
    </row>
    <row r="27" spans="1:7" s="181" customFormat="1" x14ac:dyDescent="0.25">
      <c r="A27" s="432"/>
      <c r="B27" s="431" t="s">
        <v>559</v>
      </c>
      <c r="C27" s="371"/>
      <c r="D27" s="679"/>
      <c r="E27" s="687"/>
      <c r="F27" s="681">
        <f>68616000-F26</f>
        <v>54327000</v>
      </c>
      <c r="G27" s="149"/>
    </row>
    <row r="28" spans="1:7" x14ac:dyDescent="0.25">
      <c r="A28" s="430" t="s">
        <v>491</v>
      </c>
      <c r="B28" s="441" t="s">
        <v>401</v>
      </c>
      <c r="C28" s="679">
        <v>15000000</v>
      </c>
      <c r="D28" s="679"/>
      <c r="E28" s="682">
        <v>10160000</v>
      </c>
      <c r="F28" s="682"/>
      <c r="G28" s="149"/>
    </row>
    <row r="29" spans="1:7" x14ac:dyDescent="0.25">
      <c r="A29" s="77"/>
      <c r="B29" s="77" t="s">
        <v>212</v>
      </c>
      <c r="C29" s="79">
        <f>SUM(C7:C28)</f>
        <v>1453828000</v>
      </c>
      <c r="D29" s="79">
        <f>SUM(D7:D28)</f>
        <v>125000000</v>
      </c>
      <c r="E29" s="79">
        <f>SUM(E7:E28)</f>
        <v>536812000</v>
      </c>
      <c r="F29" s="79">
        <f>SUM(F7:F28)</f>
        <v>68616000</v>
      </c>
      <c r="G29" s="77"/>
    </row>
    <row r="30" spans="1:7" s="181" customFormat="1" x14ac:dyDescent="0.25">
      <c r="A30" s="677"/>
      <c r="B30" s="678"/>
      <c r="C30" s="79"/>
      <c r="D30" s="79">
        <f>+D29+C29</f>
        <v>1578828000</v>
      </c>
      <c r="E30" s="79"/>
      <c r="F30" s="79">
        <f>+F29+E29</f>
        <v>605428000</v>
      </c>
      <c r="G30" s="79"/>
    </row>
    <row r="31" spans="1:7" x14ac:dyDescent="0.25">
      <c r="A31" s="951" t="s">
        <v>492</v>
      </c>
      <c r="B31" s="951"/>
      <c r="C31" s="125">
        <v>6350000</v>
      </c>
      <c r="D31" s="125"/>
      <c r="E31" s="125">
        <f>'3-10 önálló int.be-ki.'!EM51</f>
        <v>21477700</v>
      </c>
      <c r="F31" s="125"/>
      <c r="G31" s="79"/>
    </row>
    <row r="32" spans="1:7" x14ac:dyDescent="0.25">
      <c r="A32" s="442"/>
      <c r="B32" s="442"/>
      <c r="C32" s="442"/>
      <c r="D32" s="442"/>
      <c r="E32" s="686"/>
      <c r="F32" s="686"/>
      <c r="G32" s="79"/>
    </row>
    <row r="33" spans="1:7" x14ac:dyDescent="0.25">
      <c r="A33" s="442"/>
      <c r="B33" s="443" t="s">
        <v>493</v>
      </c>
      <c r="C33" s="442"/>
      <c r="D33" s="442"/>
      <c r="E33" s="442"/>
      <c r="F33" s="442"/>
      <c r="G33" s="686"/>
    </row>
    <row r="34" spans="1:7" ht="24" x14ac:dyDescent="0.25">
      <c r="A34" s="153"/>
      <c r="B34" s="428" t="s">
        <v>32</v>
      </c>
      <c r="C34" s="428" t="s">
        <v>365</v>
      </c>
      <c r="D34" s="428"/>
      <c r="E34" s="428" t="s">
        <v>365</v>
      </c>
      <c r="F34" s="428"/>
      <c r="G34" s="429" t="s">
        <v>412</v>
      </c>
    </row>
    <row r="35" spans="1:7" x14ac:dyDescent="0.25">
      <c r="A35" s="432" t="s">
        <v>366</v>
      </c>
      <c r="B35" s="433" t="s">
        <v>367</v>
      </c>
      <c r="C35" s="156">
        <v>138269000</v>
      </c>
      <c r="D35" s="156"/>
      <c r="E35" s="156">
        <v>138269000</v>
      </c>
      <c r="F35" s="156"/>
      <c r="G35" s="317" t="s">
        <v>477</v>
      </c>
    </row>
    <row r="36" spans="1:7" x14ac:dyDescent="0.25">
      <c r="A36" s="432" t="s">
        <v>245</v>
      </c>
      <c r="B36" s="433" t="s">
        <v>368</v>
      </c>
      <c r="C36" s="156">
        <v>27630000</v>
      </c>
      <c r="D36" s="156"/>
      <c r="E36" s="156">
        <v>27630000</v>
      </c>
      <c r="F36" s="156"/>
      <c r="G36" s="317" t="s">
        <v>477</v>
      </c>
    </row>
    <row r="37" spans="1:7" ht="22.5" x14ac:dyDescent="0.25">
      <c r="A37" s="434" t="s">
        <v>483</v>
      </c>
      <c r="B37" s="435" t="s">
        <v>484</v>
      </c>
      <c r="C37" s="156">
        <v>139100000</v>
      </c>
      <c r="D37" s="156"/>
      <c r="E37" s="156">
        <v>139100000</v>
      </c>
      <c r="F37" s="156"/>
      <c r="G37" s="317" t="s">
        <v>477</v>
      </c>
    </row>
    <row r="38" spans="1:7" x14ac:dyDescent="0.25">
      <c r="A38" s="430" t="s">
        <v>296</v>
      </c>
      <c r="B38" s="439" t="s">
        <v>486</v>
      </c>
      <c r="C38" s="156">
        <v>45001000</v>
      </c>
      <c r="D38" s="156"/>
      <c r="E38" s="156">
        <v>45001000</v>
      </c>
      <c r="F38" s="156"/>
      <c r="G38" s="317" t="s">
        <v>477</v>
      </c>
    </row>
    <row r="39" spans="1:7" x14ac:dyDescent="0.25">
      <c r="A39" s="443"/>
      <c r="B39" s="443"/>
      <c r="C39" s="444">
        <f>SUM(C35:C38)</f>
        <v>350000000</v>
      </c>
      <c r="D39" s="444">
        <f t="shared" ref="D39:F39" si="0">SUM(D35:D38)</f>
        <v>0</v>
      </c>
      <c r="E39" s="444">
        <f t="shared" si="0"/>
        <v>350000000</v>
      </c>
      <c r="F39" s="444">
        <f t="shared" si="0"/>
        <v>0</v>
      </c>
      <c r="G39" s="443"/>
    </row>
    <row r="48" spans="1:7" x14ac:dyDescent="0.25">
      <c r="B48" s="53"/>
      <c r="C48" s="53"/>
      <c r="D48" s="53"/>
      <c r="E48" s="53"/>
      <c r="F48" s="53"/>
    </row>
    <row r="49" spans="1:1" x14ac:dyDescent="0.25">
      <c r="A49" s="53"/>
    </row>
  </sheetData>
  <mergeCells count="5">
    <mergeCell ref="G13:G14"/>
    <mergeCell ref="A6:B6"/>
    <mergeCell ref="A31:B31"/>
    <mergeCell ref="C4:D4"/>
    <mergeCell ref="E4:F4"/>
  </mergeCells>
  <pageMargins left="0.7" right="0.7" top="0.75" bottom="0.75" header="0.3" footer="0.3"/>
  <pageSetup paperSize="9" scale="71" orientation="landscape" r:id="rId1"/>
  <colBreaks count="1" manualBreakCount="1">
    <brk id="8" max="2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F0198-54D5-4420-B31B-C6A9B9E3A64F}">
  <sheetPr>
    <pageSetUpPr fitToPage="1"/>
  </sheetPr>
  <dimension ref="A1:J32"/>
  <sheetViews>
    <sheetView topLeftCell="A4" zoomScale="70" zoomScaleNormal="70" workbookViewId="0">
      <selection activeCell="J8" sqref="J8"/>
    </sheetView>
  </sheetViews>
  <sheetFormatPr defaultRowHeight="15" x14ac:dyDescent="0.25"/>
  <cols>
    <col min="2" max="2" width="23.85546875" customWidth="1"/>
    <col min="3" max="3" width="29.7109375" customWidth="1"/>
    <col min="4" max="4" width="36" customWidth="1"/>
    <col min="5" max="5" width="12.42578125" customWidth="1"/>
    <col min="7" max="7" width="33.28515625" customWidth="1"/>
    <col min="8" max="8" width="22.7109375" customWidth="1"/>
    <col min="9" max="9" width="29.7109375" customWidth="1"/>
    <col min="10" max="10" width="30.28515625" bestFit="1" customWidth="1"/>
  </cols>
  <sheetData>
    <row r="1" spans="1:10" x14ac:dyDescent="0.25">
      <c r="A1" s="53"/>
      <c r="B1" s="53"/>
      <c r="C1" s="180" t="s">
        <v>410</v>
      </c>
      <c r="D1" s="163" t="s">
        <v>400</v>
      </c>
      <c r="H1" s="180" t="s">
        <v>411</v>
      </c>
      <c r="I1" s="163" t="s">
        <v>400</v>
      </c>
    </row>
    <row r="2" spans="1:10" x14ac:dyDescent="0.25">
      <c r="A2" s="153"/>
      <c r="B2" s="318" t="s">
        <v>32</v>
      </c>
      <c r="C2" s="318" t="s">
        <v>233</v>
      </c>
      <c r="D2" s="318" t="s">
        <v>365</v>
      </c>
      <c r="F2" s="153"/>
      <c r="G2" s="318" t="s">
        <v>32</v>
      </c>
      <c r="H2" s="318" t="s">
        <v>233</v>
      </c>
      <c r="I2" s="318" t="s">
        <v>365</v>
      </c>
      <c r="J2" s="337" t="s">
        <v>412</v>
      </c>
    </row>
    <row r="3" spans="1:10" ht="30" x14ac:dyDescent="0.25">
      <c r="A3" s="36" t="s">
        <v>244</v>
      </c>
      <c r="B3" s="322" t="s">
        <v>305</v>
      </c>
      <c r="C3" s="322" t="s">
        <v>243</v>
      </c>
      <c r="D3" s="325">
        <v>25000000</v>
      </c>
      <c r="F3" s="36" t="s">
        <v>244</v>
      </c>
      <c r="G3" s="322" t="s">
        <v>305</v>
      </c>
      <c r="H3" s="322" t="s">
        <v>243</v>
      </c>
      <c r="I3" s="325">
        <v>25000000</v>
      </c>
      <c r="J3" s="1"/>
    </row>
    <row r="4" spans="1:10" ht="30" x14ac:dyDescent="0.25">
      <c r="A4" s="36" t="s">
        <v>366</v>
      </c>
      <c r="B4" s="323" t="s">
        <v>367</v>
      </c>
      <c r="C4" s="322" t="s">
        <v>243</v>
      </c>
      <c r="D4" s="335">
        <v>125000000</v>
      </c>
      <c r="F4" s="36" t="s">
        <v>366</v>
      </c>
      <c r="G4" s="323" t="s">
        <v>367</v>
      </c>
      <c r="H4" s="322" t="s">
        <v>243</v>
      </c>
      <c r="I4" s="335">
        <v>144000000</v>
      </c>
      <c r="J4" s="342" t="s">
        <v>414</v>
      </c>
    </row>
    <row r="5" spans="1:10" ht="30" x14ac:dyDescent="0.25">
      <c r="A5" s="36" t="s">
        <v>245</v>
      </c>
      <c r="B5" s="323" t="s">
        <v>368</v>
      </c>
      <c r="C5" s="322" t="s">
        <v>243</v>
      </c>
      <c r="D5" s="335">
        <v>80000000</v>
      </c>
      <c r="F5" s="36" t="s">
        <v>245</v>
      </c>
      <c r="G5" s="323" t="s">
        <v>368</v>
      </c>
      <c r="H5" s="322" t="s">
        <v>243</v>
      </c>
      <c r="I5" s="335">
        <v>15244000</v>
      </c>
      <c r="J5" s="342" t="s">
        <v>414</v>
      </c>
    </row>
    <row r="6" spans="1:10" ht="30" x14ac:dyDescent="0.25">
      <c r="A6" s="36" t="s">
        <v>227</v>
      </c>
      <c r="B6" s="323" t="s">
        <v>369</v>
      </c>
      <c r="C6" s="322" t="s">
        <v>243</v>
      </c>
      <c r="D6" s="325">
        <v>238710000</v>
      </c>
      <c r="F6" s="36" t="s">
        <v>227</v>
      </c>
      <c r="G6" s="323" t="s">
        <v>369</v>
      </c>
      <c r="H6" s="322" t="s">
        <v>243</v>
      </c>
      <c r="I6" s="325">
        <v>238710000</v>
      </c>
      <c r="J6" s="1"/>
    </row>
    <row r="7" spans="1:10" ht="60" x14ac:dyDescent="0.25">
      <c r="A7" s="36" t="s">
        <v>370</v>
      </c>
      <c r="B7" s="322" t="s">
        <v>307</v>
      </c>
      <c r="C7" s="322" t="s">
        <v>243</v>
      </c>
      <c r="D7" s="325">
        <v>60000000</v>
      </c>
      <c r="F7" s="36" t="s">
        <v>370</v>
      </c>
      <c r="G7" s="322" t="s">
        <v>307</v>
      </c>
      <c r="H7" s="322" t="s">
        <v>243</v>
      </c>
      <c r="I7" s="325">
        <v>60000000</v>
      </c>
      <c r="J7" s="1"/>
    </row>
    <row r="8" spans="1:10" ht="30" x14ac:dyDescent="0.25">
      <c r="A8" s="36" t="s">
        <v>228</v>
      </c>
      <c r="B8" s="323" t="s">
        <v>371</v>
      </c>
      <c r="C8" s="322" t="s">
        <v>243</v>
      </c>
      <c r="D8" s="325">
        <v>60756000</v>
      </c>
      <c r="F8" s="36" t="s">
        <v>228</v>
      </c>
      <c r="G8" s="323" t="s">
        <v>371</v>
      </c>
      <c r="H8" s="322" t="s">
        <v>243</v>
      </c>
      <c r="I8" s="325">
        <v>60756000</v>
      </c>
      <c r="J8" s="167" t="s">
        <v>414</v>
      </c>
    </row>
    <row r="9" spans="1:10" ht="30" x14ac:dyDescent="0.25">
      <c r="A9" s="36" t="s">
        <v>246</v>
      </c>
      <c r="B9" s="324" t="s">
        <v>308</v>
      </c>
      <c r="C9" s="322" t="s">
        <v>243</v>
      </c>
      <c r="D9" s="325">
        <v>452758000</v>
      </c>
      <c r="F9" s="36" t="s">
        <v>246</v>
      </c>
      <c r="G9" s="324" t="s">
        <v>308</v>
      </c>
      <c r="H9" s="322" t="s">
        <v>243</v>
      </c>
      <c r="I9" s="325">
        <v>452758000</v>
      </c>
      <c r="J9" s="1"/>
    </row>
    <row r="10" spans="1:10" ht="30" x14ac:dyDescent="0.25">
      <c r="A10" s="36" t="s">
        <v>372</v>
      </c>
      <c r="B10" s="330" t="s">
        <v>373</v>
      </c>
      <c r="C10" s="322" t="s">
        <v>243</v>
      </c>
      <c r="D10" s="325">
        <v>125000000</v>
      </c>
      <c r="F10" s="36" t="s">
        <v>372</v>
      </c>
      <c r="G10" s="330" t="s">
        <v>373</v>
      </c>
      <c r="H10" s="322" t="s">
        <v>243</v>
      </c>
      <c r="I10" s="325">
        <v>125000000</v>
      </c>
      <c r="J10" s="1"/>
    </row>
    <row r="11" spans="1:10" ht="30" x14ac:dyDescent="0.25">
      <c r="A11" s="36" t="s">
        <v>234</v>
      </c>
      <c r="B11" s="330" t="s">
        <v>311</v>
      </c>
      <c r="C11" s="322" t="s">
        <v>243</v>
      </c>
      <c r="D11" s="325">
        <v>2360000</v>
      </c>
      <c r="F11" s="36" t="s">
        <v>234</v>
      </c>
      <c r="G11" s="330" t="s">
        <v>311</v>
      </c>
      <c r="H11" s="322" t="s">
        <v>243</v>
      </c>
      <c r="I11" s="325">
        <v>2360000</v>
      </c>
      <c r="J11" s="1"/>
    </row>
    <row r="12" spans="1:10" ht="30" x14ac:dyDescent="0.25">
      <c r="A12" s="36" t="s">
        <v>247</v>
      </c>
      <c r="B12" s="331" t="s">
        <v>374</v>
      </c>
      <c r="C12" s="322" t="s">
        <v>243</v>
      </c>
      <c r="D12" s="325">
        <v>200000000</v>
      </c>
      <c r="F12" s="36" t="s">
        <v>247</v>
      </c>
      <c r="G12" s="331" t="s">
        <v>374</v>
      </c>
      <c r="H12" s="322" t="s">
        <v>243</v>
      </c>
      <c r="I12" s="325">
        <v>200000000</v>
      </c>
      <c r="J12" s="1"/>
    </row>
    <row r="13" spans="1:10" ht="30" x14ac:dyDescent="0.25">
      <c r="A13" s="36" t="s">
        <v>271</v>
      </c>
      <c r="B13" s="322" t="s">
        <v>375</v>
      </c>
      <c r="C13" s="322" t="s">
        <v>243</v>
      </c>
      <c r="D13" s="336">
        <v>30000000</v>
      </c>
      <c r="F13" s="36" t="s">
        <v>271</v>
      </c>
      <c r="G13" s="322" t="s">
        <v>375</v>
      </c>
      <c r="H13" s="322" t="s">
        <v>243</v>
      </c>
      <c r="I13" s="325">
        <v>0</v>
      </c>
      <c r="J13" s="1" t="s">
        <v>416</v>
      </c>
    </row>
    <row r="14" spans="1:10" ht="30" x14ac:dyDescent="0.25">
      <c r="A14" s="36" t="s">
        <v>294</v>
      </c>
      <c r="B14" s="324" t="s">
        <v>376</v>
      </c>
      <c r="C14" s="322" t="s">
        <v>243</v>
      </c>
      <c r="D14" s="336">
        <v>25000000</v>
      </c>
      <c r="F14" s="36" t="s">
        <v>294</v>
      </c>
      <c r="G14" s="324" t="s">
        <v>376</v>
      </c>
      <c r="H14" s="322" t="s">
        <v>243</v>
      </c>
      <c r="I14" s="325">
        <v>0</v>
      </c>
      <c r="J14" s="1" t="s">
        <v>416</v>
      </c>
    </row>
    <row r="15" spans="1:10" ht="30" x14ac:dyDescent="0.25">
      <c r="A15" s="36" t="s">
        <v>295</v>
      </c>
      <c r="B15" s="323" t="s">
        <v>398</v>
      </c>
      <c r="C15" s="322" t="s">
        <v>243</v>
      </c>
      <c r="D15" s="325">
        <v>124244000</v>
      </c>
      <c r="F15" s="36" t="s">
        <v>295</v>
      </c>
      <c r="G15" s="323" t="s">
        <v>398</v>
      </c>
      <c r="H15" s="322" t="s">
        <v>243</v>
      </c>
      <c r="I15" s="325">
        <v>0</v>
      </c>
      <c r="J15" s="1" t="s">
        <v>417</v>
      </c>
    </row>
    <row r="16" spans="1:10" ht="30" x14ac:dyDescent="0.25">
      <c r="A16" s="36" t="s">
        <v>377</v>
      </c>
      <c r="B16" s="1" t="s">
        <v>399</v>
      </c>
      <c r="C16" s="322" t="s">
        <v>243</v>
      </c>
      <c r="D16" s="336">
        <v>15000000</v>
      </c>
      <c r="F16" s="36" t="s">
        <v>377</v>
      </c>
      <c r="G16" s="1" t="s">
        <v>399</v>
      </c>
      <c r="H16" s="322" t="s">
        <v>243</v>
      </c>
      <c r="I16" s="325">
        <v>0</v>
      </c>
      <c r="J16" s="1" t="s">
        <v>416</v>
      </c>
    </row>
    <row r="17" spans="1:10" ht="30" x14ac:dyDescent="0.25">
      <c r="A17" s="36" t="s">
        <v>296</v>
      </c>
      <c r="B17" s="1" t="s">
        <v>401</v>
      </c>
      <c r="C17" s="322" t="s">
        <v>243</v>
      </c>
      <c r="D17" s="335">
        <v>15000000</v>
      </c>
      <c r="F17" s="36" t="s">
        <v>296</v>
      </c>
      <c r="G17" s="1" t="s">
        <v>401</v>
      </c>
      <c r="H17" s="322" t="s">
        <v>243</v>
      </c>
      <c r="I17" s="325">
        <v>6000000</v>
      </c>
      <c r="J17" s="1"/>
    </row>
    <row r="18" spans="1:10" ht="30" x14ac:dyDescent="0.25">
      <c r="A18" s="36" t="s">
        <v>297</v>
      </c>
      <c r="B18" s="323" t="s">
        <v>378</v>
      </c>
      <c r="C18" s="322" t="s">
        <v>277</v>
      </c>
      <c r="D18" s="325">
        <v>6350000</v>
      </c>
      <c r="F18" s="36" t="s">
        <v>297</v>
      </c>
      <c r="G18" s="323" t="s">
        <v>378</v>
      </c>
      <c r="H18" s="322" t="s">
        <v>277</v>
      </c>
      <c r="I18" s="325">
        <v>6350000</v>
      </c>
      <c r="J18" s="1"/>
    </row>
    <row r="19" spans="1:10" x14ac:dyDescent="0.25">
      <c r="A19" s="36"/>
      <c r="B19" s="1"/>
      <c r="C19" s="1"/>
      <c r="D19" s="1"/>
      <c r="F19" s="36"/>
      <c r="G19" s="1" t="s">
        <v>413</v>
      </c>
      <c r="H19" s="1"/>
      <c r="I19" s="325">
        <v>130000000</v>
      </c>
      <c r="J19" s="167" t="s">
        <v>414</v>
      </c>
    </row>
    <row r="20" spans="1:10" x14ac:dyDescent="0.25">
      <c r="A20" s="36"/>
      <c r="B20" s="323"/>
      <c r="C20" s="322"/>
      <c r="D20" s="322">
        <v>0</v>
      </c>
      <c r="F20" s="36"/>
      <c r="G20" s="323"/>
      <c r="H20" s="322"/>
      <c r="I20" s="322">
        <v>0</v>
      </c>
      <c r="J20" s="1"/>
    </row>
    <row r="21" spans="1:10" x14ac:dyDescent="0.25">
      <c r="A21" s="36"/>
      <c r="B21" s="321"/>
      <c r="C21" s="319"/>
      <c r="D21" s="322">
        <v>0</v>
      </c>
      <c r="F21" s="36"/>
      <c r="G21" s="321"/>
      <c r="H21" s="319"/>
      <c r="I21" s="322">
        <v>0</v>
      </c>
      <c r="J21" s="1"/>
    </row>
    <row r="22" spans="1:10" x14ac:dyDescent="0.25">
      <c r="A22" s="148"/>
      <c r="B22" s="320" t="s">
        <v>212</v>
      </c>
      <c r="C22" s="167"/>
      <c r="D22" s="246">
        <f>SUM(D3:D21)</f>
        <v>1585178000</v>
      </c>
      <c r="E22" s="14">
        <f>+D22-I22</f>
        <v>119000000</v>
      </c>
      <c r="F22" s="148"/>
      <c r="G22" s="320" t="s">
        <v>212</v>
      </c>
      <c r="H22" s="167"/>
      <c r="I22" s="246">
        <f>SUM(I3:I21)</f>
        <v>1466178000</v>
      </c>
      <c r="J22" s="1"/>
    </row>
    <row r="23" spans="1:10" x14ac:dyDescent="0.25">
      <c r="A23" s="181"/>
      <c r="B23" s="181"/>
      <c r="C23" s="181"/>
      <c r="D23" s="181"/>
    </row>
    <row r="24" spans="1:10" x14ac:dyDescent="0.25">
      <c r="G24" t="s">
        <v>412</v>
      </c>
      <c r="H24" s="953" t="s">
        <v>415</v>
      </c>
      <c r="I24" s="953"/>
      <c r="J24" s="953"/>
    </row>
    <row r="25" spans="1:10" x14ac:dyDescent="0.25">
      <c r="B25" s="340" t="s">
        <v>403</v>
      </c>
      <c r="C25" s="340" t="s">
        <v>406</v>
      </c>
      <c r="D25" s="340" t="s">
        <v>405</v>
      </c>
      <c r="H25" s="953"/>
      <c r="I25" s="953"/>
      <c r="J25" s="953"/>
    </row>
    <row r="26" spans="1:10" x14ac:dyDescent="0.25">
      <c r="B26" s="341" t="s">
        <v>404</v>
      </c>
      <c r="C26" s="338">
        <v>27289000</v>
      </c>
      <c r="D26" s="339">
        <v>50000000</v>
      </c>
    </row>
    <row r="27" spans="1:10" x14ac:dyDescent="0.25">
      <c r="B27" s="180" t="s">
        <v>407</v>
      </c>
      <c r="C27" s="340" t="s">
        <v>406</v>
      </c>
      <c r="D27" s="340" t="s">
        <v>405</v>
      </c>
    </row>
    <row r="28" spans="1:10" x14ac:dyDescent="0.25">
      <c r="B28" s="341" t="s">
        <v>408</v>
      </c>
      <c r="C28" s="338">
        <v>261000000</v>
      </c>
      <c r="D28" s="338">
        <v>261000000</v>
      </c>
    </row>
    <row r="29" spans="1:10" x14ac:dyDescent="0.25">
      <c r="B29" s="341" t="s">
        <v>409</v>
      </c>
      <c r="C29" s="338">
        <v>30000000</v>
      </c>
      <c r="D29" s="338">
        <v>30000000</v>
      </c>
    </row>
    <row r="30" spans="1:10" x14ac:dyDescent="0.25">
      <c r="C30" s="338"/>
      <c r="D30" s="338"/>
    </row>
    <row r="31" spans="1:10" x14ac:dyDescent="0.25">
      <c r="C31" s="338"/>
      <c r="D31" s="338">
        <v>0</v>
      </c>
    </row>
    <row r="32" spans="1:10" x14ac:dyDescent="0.25">
      <c r="C32" s="338"/>
      <c r="D32" s="338"/>
    </row>
  </sheetData>
  <mergeCells count="1">
    <mergeCell ref="H24:J25"/>
  </mergeCells>
  <pageMargins left="0.7" right="0.7" top="0.75" bottom="0.75" header="0.3" footer="0.3"/>
  <pageSetup paperSize="8" scale="81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 tint="-0.249977111117893"/>
    <pageSetUpPr fitToPage="1"/>
  </sheetPr>
  <dimension ref="A1:AD173"/>
  <sheetViews>
    <sheetView view="pageBreakPreview" topLeftCell="K1" zoomScale="90" zoomScaleNormal="115" zoomScaleSheetLayoutView="90" workbookViewId="0">
      <selection activeCell="X6" sqref="X6"/>
    </sheetView>
  </sheetViews>
  <sheetFormatPr defaultRowHeight="15" x14ac:dyDescent="0.25"/>
  <cols>
    <col min="1" max="1" width="3.7109375" customWidth="1"/>
    <col min="2" max="2" width="34.7109375" customWidth="1"/>
    <col min="3" max="3" width="14.7109375" customWidth="1"/>
    <col min="4" max="4" width="14.28515625" customWidth="1"/>
    <col min="5" max="5" width="14.28515625" style="181" customWidth="1"/>
    <col min="6" max="6" width="11.28515625" customWidth="1"/>
    <col min="7" max="7" width="19" customWidth="1"/>
    <col min="8" max="8" width="12.42578125" customWidth="1"/>
    <col min="9" max="9" width="10.5703125" customWidth="1"/>
    <col min="10" max="10" width="17.28515625" customWidth="1"/>
    <col min="11" max="11" width="10.28515625" customWidth="1"/>
    <col min="12" max="12" width="10.5703125" customWidth="1"/>
    <col min="13" max="13" width="16.7109375" customWidth="1"/>
    <col min="14" max="14" width="10.28515625" customWidth="1"/>
    <col min="15" max="15" width="10.5703125" customWidth="1"/>
    <col min="16" max="16" width="11.7109375" customWidth="1"/>
    <col min="17" max="17" width="12.28515625" customWidth="1"/>
    <col min="18" max="18" width="10.28515625" customWidth="1"/>
    <col min="19" max="19" width="10.5703125" customWidth="1"/>
    <col min="20" max="20" width="10" customWidth="1"/>
    <col min="22" max="22" width="10.28515625" customWidth="1"/>
    <col min="23" max="23" width="15.7109375" customWidth="1"/>
    <col min="24" max="24" width="10.28515625" customWidth="1"/>
    <col min="25" max="25" width="10.5703125" customWidth="1"/>
    <col min="26" max="26" width="10" customWidth="1"/>
    <col min="27" max="27" width="10.28515625" customWidth="1"/>
  </cols>
  <sheetData>
    <row r="1" spans="1:30" ht="15" customHeight="1" x14ac:dyDescent="0.25">
      <c r="A1" s="872" t="s">
        <v>291</v>
      </c>
      <c r="B1" s="872"/>
      <c r="C1" s="872"/>
      <c r="D1" s="872"/>
      <c r="E1" s="872"/>
      <c r="F1" s="872"/>
      <c r="G1" s="872"/>
      <c r="H1" s="183"/>
      <c r="I1" s="173"/>
      <c r="J1" s="182"/>
      <c r="K1" s="183"/>
      <c r="L1" s="173"/>
      <c r="M1" s="182"/>
      <c r="N1" s="183"/>
      <c r="O1" s="173"/>
      <c r="P1" s="182"/>
      <c r="Q1" s="182"/>
      <c r="R1" s="183"/>
      <c r="S1" s="173"/>
      <c r="T1" s="182"/>
      <c r="U1" s="182"/>
      <c r="V1" s="183"/>
      <c r="W1" s="173"/>
      <c r="X1" s="873" t="s">
        <v>341</v>
      </c>
      <c r="Y1" s="873"/>
      <c r="Z1" s="873"/>
      <c r="AA1" s="873"/>
    </row>
    <row r="2" spans="1:30" x14ac:dyDescent="0.25">
      <c r="A2" s="872"/>
      <c r="B2" s="872"/>
      <c r="C2" s="872"/>
      <c r="D2" s="872"/>
      <c r="E2" s="872"/>
      <c r="F2" s="872"/>
      <c r="G2" s="872"/>
      <c r="H2" s="183"/>
      <c r="I2" s="171"/>
      <c r="J2" s="183"/>
      <c r="K2" s="183"/>
      <c r="L2" s="171"/>
      <c r="M2" s="183"/>
      <c r="N2" s="183"/>
      <c r="O2" s="171"/>
      <c r="P2" s="183"/>
      <c r="Q2" s="183"/>
      <c r="R2" s="183"/>
      <c r="S2" s="171"/>
      <c r="T2" s="183"/>
      <c r="U2" s="183"/>
      <c r="V2" s="183"/>
      <c r="W2" s="171"/>
      <c r="X2" s="873"/>
      <c r="Y2" s="873"/>
      <c r="Z2" s="873"/>
      <c r="AA2" s="873"/>
    </row>
    <row r="3" spans="1:30" x14ac:dyDescent="0.25">
      <c r="A3" s="170"/>
      <c r="B3" s="171"/>
      <c r="C3" s="171"/>
      <c r="D3" s="89"/>
      <c r="E3" s="89"/>
      <c r="G3" s="171"/>
      <c r="H3" s="172"/>
      <c r="I3" s="171"/>
      <c r="J3" s="172"/>
      <c r="K3" s="172"/>
      <c r="L3" s="171"/>
      <c r="M3" s="172"/>
      <c r="N3" s="172"/>
      <c r="O3" s="171"/>
      <c r="P3" s="172"/>
      <c r="Q3" s="172"/>
      <c r="R3" s="172"/>
      <c r="S3" s="171"/>
      <c r="T3" s="172"/>
      <c r="U3" s="172"/>
      <c r="V3" s="172"/>
      <c r="W3" s="171"/>
      <c r="X3" s="172"/>
      <c r="Y3" s="171"/>
      <c r="Z3" s="172"/>
      <c r="AA3" s="172"/>
    </row>
    <row r="4" spans="1:30" ht="15.75" thickBot="1" x14ac:dyDescent="0.3">
      <c r="A4" s="170"/>
      <c r="B4" s="171"/>
      <c r="C4" s="171"/>
      <c r="D4" s="89"/>
      <c r="E4" s="89"/>
      <c r="G4" s="171"/>
      <c r="H4" s="184"/>
      <c r="I4" s="171"/>
      <c r="J4" s="172"/>
      <c r="K4" s="172"/>
      <c r="L4" s="171"/>
      <c r="M4" s="172"/>
      <c r="N4" s="172"/>
      <c r="O4" s="171"/>
      <c r="P4" s="172"/>
      <c r="Q4" s="172"/>
      <c r="R4" s="172"/>
      <c r="S4" s="171"/>
      <c r="T4" s="172"/>
      <c r="U4" s="172"/>
      <c r="V4" s="172"/>
      <c r="W4" s="171"/>
      <c r="X4" s="172"/>
      <c r="Y4" s="171"/>
      <c r="AA4" s="172"/>
      <c r="AC4" s="51" t="s">
        <v>400</v>
      </c>
    </row>
    <row r="5" spans="1:30" s="208" customFormat="1" ht="33.75" customHeight="1" thickBot="1" x14ac:dyDescent="0.3">
      <c r="A5" s="210"/>
      <c r="B5" s="211" t="s">
        <v>43</v>
      </c>
      <c r="C5" s="960" t="s">
        <v>243</v>
      </c>
      <c r="D5" s="961"/>
      <c r="E5" s="963"/>
      <c r="F5" s="962"/>
      <c r="G5" s="964" t="s">
        <v>277</v>
      </c>
      <c r="H5" s="965"/>
      <c r="I5" s="960" t="s">
        <v>278</v>
      </c>
      <c r="J5" s="961"/>
      <c r="K5" s="962"/>
      <c r="L5" s="960" t="s">
        <v>279</v>
      </c>
      <c r="M5" s="961"/>
      <c r="N5" s="962"/>
      <c r="O5" s="960" t="s">
        <v>280</v>
      </c>
      <c r="P5" s="961"/>
      <c r="Q5" s="961"/>
      <c r="R5" s="962"/>
      <c r="S5" s="960" t="s">
        <v>281</v>
      </c>
      <c r="T5" s="961"/>
      <c r="U5" s="961"/>
      <c r="V5" s="962"/>
      <c r="W5" s="960" t="s">
        <v>130</v>
      </c>
      <c r="X5" s="962"/>
      <c r="Y5" s="960" t="s">
        <v>44</v>
      </c>
      <c r="Z5" s="961"/>
      <c r="AA5" s="962"/>
      <c r="AB5" s="960" t="s">
        <v>315</v>
      </c>
      <c r="AC5" s="961"/>
      <c r="AD5" s="962"/>
    </row>
    <row r="6" spans="1:30" s="180" customFormat="1" ht="79.5" thickBot="1" x14ac:dyDescent="0.3">
      <c r="A6" s="210" t="s">
        <v>125</v>
      </c>
      <c r="B6" s="219" t="s">
        <v>32</v>
      </c>
      <c r="C6" s="220" t="s">
        <v>290</v>
      </c>
      <c r="D6" s="221" t="s">
        <v>284</v>
      </c>
      <c r="E6" s="221" t="s">
        <v>395</v>
      </c>
      <c r="F6" s="222" t="s">
        <v>208</v>
      </c>
      <c r="G6" s="279" t="s">
        <v>290</v>
      </c>
      <c r="H6" s="238" t="s">
        <v>212</v>
      </c>
      <c r="I6" s="220" t="s">
        <v>285</v>
      </c>
      <c r="J6" s="221" t="s">
        <v>286</v>
      </c>
      <c r="K6" s="223" t="s">
        <v>212</v>
      </c>
      <c r="L6" s="220" t="s">
        <v>285</v>
      </c>
      <c r="M6" s="221" t="s">
        <v>286</v>
      </c>
      <c r="N6" s="224" t="s">
        <v>212</v>
      </c>
      <c r="O6" s="220" t="s">
        <v>282</v>
      </c>
      <c r="P6" s="221" t="s">
        <v>283</v>
      </c>
      <c r="Q6" s="221" t="s">
        <v>284</v>
      </c>
      <c r="R6" s="224" t="s">
        <v>212</v>
      </c>
      <c r="S6" s="220" t="s">
        <v>282</v>
      </c>
      <c r="T6" s="221" t="s">
        <v>283</v>
      </c>
      <c r="U6" s="221" t="s">
        <v>284</v>
      </c>
      <c r="V6" s="224" t="s">
        <v>212</v>
      </c>
      <c r="W6" s="220" t="s">
        <v>289</v>
      </c>
      <c r="X6" s="224" t="s">
        <v>212</v>
      </c>
      <c r="Y6" s="220" t="s">
        <v>287</v>
      </c>
      <c r="Z6" s="221" t="s">
        <v>288</v>
      </c>
      <c r="AA6" s="223" t="s">
        <v>212</v>
      </c>
      <c r="AB6" s="221" t="s">
        <v>316</v>
      </c>
      <c r="AC6" s="221" t="s">
        <v>317</v>
      </c>
      <c r="AD6" s="240" t="s">
        <v>212</v>
      </c>
    </row>
    <row r="7" spans="1:30" ht="23.25" x14ac:dyDescent="0.25">
      <c r="A7" s="212" t="s">
        <v>12</v>
      </c>
      <c r="B7" s="213" t="s">
        <v>178</v>
      </c>
      <c r="C7" s="214">
        <v>811554</v>
      </c>
      <c r="D7" s="215"/>
      <c r="E7" s="327"/>
      <c r="F7" s="278">
        <f>SUM(C7:E7)</f>
        <v>811554</v>
      </c>
      <c r="G7" s="280">
        <v>0</v>
      </c>
      <c r="H7" s="281">
        <f t="shared" ref="H7:H24" si="0">SUM(G7:G7)</f>
        <v>0</v>
      </c>
      <c r="I7" s="216">
        <v>0</v>
      </c>
      <c r="J7" s="215">
        <v>0</v>
      </c>
      <c r="K7" s="217">
        <f>SUM(I7:J7)</f>
        <v>0</v>
      </c>
      <c r="L7" s="218">
        <v>0</v>
      </c>
      <c r="M7" s="215">
        <v>0</v>
      </c>
      <c r="N7" s="217">
        <f>SUM(L7:M7)</f>
        <v>0</v>
      </c>
      <c r="O7" s="218">
        <v>0</v>
      </c>
      <c r="P7" s="215">
        <v>0</v>
      </c>
      <c r="Q7" s="215">
        <v>0</v>
      </c>
      <c r="R7" s="217">
        <f>O7+P7+Q7</f>
        <v>0</v>
      </c>
      <c r="S7" s="218">
        <v>0</v>
      </c>
      <c r="T7" s="215">
        <v>0</v>
      </c>
      <c r="U7" s="215">
        <v>0</v>
      </c>
      <c r="V7" s="217">
        <f>S7+T7+U7</f>
        <v>0</v>
      </c>
      <c r="W7" s="218">
        <v>0</v>
      </c>
      <c r="X7" s="217">
        <f>SUM(W7)</f>
        <v>0</v>
      </c>
      <c r="Y7" s="218">
        <v>0</v>
      </c>
      <c r="Z7" s="215">
        <v>0</v>
      </c>
      <c r="AA7" s="217">
        <f>SUM(Y7:Z7)</f>
        <v>0</v>
      </c>
      <c r="AB7" s="218">
        <v>0</v>
      </c>
      <c r="AC7" s="215">
        <v>0</v>
      </c>
      <c r="AD7" s="217">
        <f>SUM(AB7:AC7)</f>
        <v>0</v>
      </c>
    </row>
    <row r="8" spans="1:30" x14ac:dyDescent="0.25">
      <c r="A8" s="199" t="s">
        <v>13</v>
      </c>
      <c r="B8" s="185" t="s">
        <v>177</v>
      </c>
      <c r="C8" s="188">
        <v>106327</v>
      </c>
      <c r="D8" s="144"/>
      <c r="E8" s="328">
        <v>14144</v>
      </c>
      <c r="F8" s="278">
        <f t="shared" ref="F8:F24" si="1">SUM(C8:E8)</f>
        <v>120471</v>
      </c>
      <c r="G8" s="193">
        <v>0</v>
      </c>
      <c r="H8" s="192">
        <f t="shared" si="0"/>
        <v>0</v>
      </c>
      <c r="I8" s="187">
        <v>0</v>
      </c>
      <c r="J8" s="144">
        <v>0</v>
      </c>
      <c r="K8" s="192">
        <f t="shared" ref="K8:K24" si="2">SUM(I8:J8)</f>
        <v>0</v>
      </c>
      <c r="L8" s="193">
        <v>0</v>
      </c>
      <c r="M8" s="144">
        <v>0</v>
      </c>
      <c r="N8" s="192">
        <f t="shared" ref="N8:N24" si="3">SUM(L8:M8)</f>
        <v>0</v>
      </c>
      <c r="O8" s="193">
        <v>0</v>
      </c>
      <c r="P8" s="144">
        <v>0</v>
      </c>
      <c r="Q8" s="144">
        <v>0</v>
      </c>
      <c r="R8" s="192">
        <f t="shared" ref="R8:R24" si="4">O8+P8+Q8</f>
        <v>0</v>
      </c>
      <c r="S8" s="193">
        <v>0</v>
      </c>
      <c r="T8" s="144">
        <v>0</v>
      </c>
      <c r="U8" s="144">
        <v>0</v>
      </c>
      <c r="V8" s="192">
        <f t="shared" ref="V8:V24" si="5">S8+T8+U8</f>
        <v>0</v>
      </c>
      <c r="W8" s="193">
        <v>4000</v>
      </c>
      <c r="X8" s="192">
        <f t="shared" ref="X8:X24" si="6">SUM(W8)</f>
        <v>4000</v>
      </c>
      <c r="Y8" s="193">
        <v>0</v>
      </c>
      <c r="Z8" s="144">
        <v>0</v>
      </c>
      <c r="AA8" s="192">
        <f t="shared" ref="AA8:AA24" si="7">SUM(Y8:Z8)</f>
        <v>0</v>
      </c>
      <c r="AB8" s="193">
        <v>0</v>
      </c>
      <c r="AC8" s="144">
        <v>0</v>
      </c>
      <c r="AD8" s="192">
        <f t="shared" ref="AD8:AD24" si="8">SUM(AB8:AC8)</f>
        <v>0</v>
      </c>
    </row>
    <row r="9" spans="1:30" x14ac:dyDescent="0.25">
      <c r="A9" s="199" t="s">
        <v>14</v>
      </c>
      <c r="B9" s="185" t="s">
        <v>124</v>
      </c>
      <c r="C9" s="188">
        <v>711000</v>
      </c>
      <c r="D9" s="144"/>
      <c r="E9" s="328"/>
      <c r="F9" s="278">
        <f t="shared" si="1"/>
        <v>711000</v>
      </c>
      <c r="G9" s="193">
        <v>0</v>
      </c>
      <c r="H9" s="192">
        <f t="shared" si="0"/>
        <v>0</v>
      </c>
      <c r="I9" s="187">
        <v>0</v>
      </c>
      <c r="J9" s="144">
        <v>0</v>
      </c>
      <c r="K9" s="192">
        <f t="shared" si="2"/>
        <v>0</v>
      </c>
      <c r="L9" s="193">
        <v>0</v>
      </c>
      <c r="M9" s="144">
        <v>0</v>
      </c>
      <c r="N9" s="192">
        <f t="shared" si="3"/>
        <v>0</v>
      </c>
      <c r="O9" s="193">
        <v>0</v>
      </c>
      <c r="P9" s="144">
        <v>0</v>
      </c>
      <c r="Q9" s="144">
        <v>0</v>
      </c>
      <c r="R9" s="192">
        <f t="shared" si="4"/>
        <v>0</v>
      </c>
      <c r="S9" s="193">
        <v>0</v>
      </c>
      <c r="T9" s="144">
        <v>0</v>
      </c>
      <c r="U9" s="144">
        <v>0</v>
      </c>
      <c r="V9" s="192">
        <f t="shared" si="5"/>
        <v>0</v>
      </c>
      <c r="W9" s="193">
        <v>0</v>
      </c>
      <c r="X9" s="192">
        <f t="shared" si="6"/>
        <v>0</v>
      </c>
      <c r="Y9" s="193">
        <v>0</v>
      </c>
      <c r="Z9" s="144">
        <v>0</v>
      </c>
      <c r="AA9" s="192">
        <f t="shared" si="7"/>
        <v>0</v>
      </c>
      <c r="AB9" s="193">
        <v>0</v>
      </c>
      <c r="AC9" s="144">
        <v>0</v>
      </c>
      <c r="AD9" s="192">
        <f t="shared" si="8"/>
        <v>0</v>
      </c>
    </row>
    <row r="10" spans="1:30" x14ac:dyDescent="0.25">
      <c r="A10" s="199" t="s">
        <v>15</v>
      </c>
      <c r="B10" s="185" t="s">
        <v>87</v>
      </c>
      <c r="C10" s="188">
        <v>1100000</v>
      </c>
      <c r="D10" s="144"/>
      <c r="E10" s="328"/>
      <c r="F10" s="278">
        <f t="shared" si="1"/>
        <v>1100000</v>
      </c>
      <c r="G10" s="193">
        <v>0</v>
      </c>
      <c r="H10" s="192">
        <f t="shared" si="0"/>
        <v>0</v>
      </c>
      <c r="I10" s="187">
        <v>0</v>
      </c>
      <c r="J10" s="144">
        <v>0</v>
      </c>
      <c r="K10" s="192">
        <f t="shared" si="2"/>
        <v>0</v>
      </c>
      <c r="L10" s="193">
        <v>0</v>
      </c>
      <c r="M10" s="144">
        <v>0</v>
      </c>
      <c r="N10" s="192">
        <f t="shared" si="3"/>
        <v>0</v>
      </c>
      <c r="O10" s="193">
        <v>0</v>
      </c>
      <c r="P10" s="144">
        <v>0</v>
      </c>
      <c r="Q10" s="144">
        <v>0</v>
      </c>
      <c r="R10" s="192">
        <f t="shared" si="4"/>
        <v>0</v>
      </c>
      <c r="S10" s="193">
        <v>0</v>
      </c>
      <c r="T10" s="144">
        <v>0</v>
      </c>
      <c r="U10" s="144">
        <v>0</v>
      </c>
      <c r="V10" s="192">
        <f t="shared" si="5"/>
        <v>0</v>
      </c>
      <c r="W10" s="193">
        <v>0</v>
      </c>
      <c r="X10" s="192">
        <f t="shared" si="6"/>
        <v>0</v>
      </c>
      <c r="Y10" s="193">
        <v>0</v>
      </c>
      <c r="Z10" s="144">
        <v>0</v>
      </c>
      <c r="AA10" s="192">
        <f t="shared" si="7"/>
        <v>0</v>
      </c>
      <c r="AB10" s="193">
        <v>0</v>
      </c>
      <c r="AC10" s="144">
        <v>0</v>
      </c>
      <c r="AD10" s="192">
        <f t="shared" si="8"/>
        <v>0</v>
      </c>
    </row>
    <row r="11" spans="1:30" x14ac:dyDescent="0.25">
      <c r="A11" s="199" t="s">
        <v>16</v>
      </c>
      <c r="B11" s="185" t="s">
        <v>175</v>
      </c>
      <c r="C11" s="188">
        <v>249382</v>
      </c>
      <c r="D11" s="144">
        <v>38100</v>
      </c>
      <c r="E11" s="328"/>
      <c r="F11" s="278">
        <f t="shared" si="1"/>
        <v>287482</v>
      </c>
      <c r="G11" s="193">
        <v>8334</v>
      </c>
      <c r="H11" s="192">
        <f t="shared" si="0"/>
        <v>8334</v>
      </c>
      <c r="I11" s="187">
        <v>0</v>
      </c>
      <c r="J11" s="144">
        <v>4250</v>
      </c>
      <c r="K11" s="192">
        <f t="shared" si="2"/>
        <v>4250</v>
      </c>
      <c r="L11" s="193">
        <v>5200</v>
      </c>
      <c r="M11" s="144">
        <v>2726</v>
      </c>
      <c r="N11" s="192">
        <f t="shared" si="3"/>
        <v>7926</v>
      </c>
      <c r="O11" s="193">
        <f>12795-12160</f>
        <v>635</v>
      </c>
      <c r="P11" s="144">
        <v>0</v>
      </c>
      <c r="Q11" s="144">
        <v>12580</v>
      </c>
      <c r="R11" s="192">
        <f t="shared" si="4"/>
        <v>13215</v>
      </c>
      <c r="S11" s="193">
        <v>0</v>
      </c>
      <c r="T11" s="144">
        <v>0</v>
      </c>
      <c r="U11" s="144">
        <v>4889</v>
      </c>
      <c r="V11" s="192">
        <f t="shared" si="5"/>
        <v>4889</v>
      </c>
      <c r="W11" s="193">
        <v>14600</v>
      </c>
      <c r="X11" s="192">
        <f t="shared" si="6"/>
        <v>14600</v>
      </c>
      <c r="Y11" s="193">
        <v>1300</v>
      </c>
      <c r="Z11" s="144">
        <v>0</v>
      </c>
      <c r="AA11" s="192">
        <f t="shared" si="7"/>
        <v>1300</v>
      </c>
      <c r="AB11" s="193">
        <v>0</v>
      </c>
      <c r="AC11" s="144">
        <v>0</v>
      </c>
      <c r="AD11" s="192">
        <f t="shared" si="8"/>
        <v>0</v>
      </c>
    </row>
    <row r="12" spans="1:30" x14ac:dyDescent="0.25">
      <c r="A12" s="199" t="s">
        <v>17</v>
      </c>
      <c r="B12" s="185" t="s">
        <v>179</v>
      </c>
      <c r="C12" s="188">
        <v>281000</v>
      </c>
      <c r="D12" s="144"/>
      <c r="E12" s="328"/>
      <c r="F12" s="278">
        <f t="shared" si="1"/>
        <v>281000</v>
      </c>
      <c r="G12" s="193">
        <v>0</v>
      </c>
      <c r="H12" s="192">
        <f t="shared" si="0"/>
        <v>0</v>
      </c>
      <c r="I12" s="187">
        <v>0</v>
      </c>
      <c r="J12" s="144">
        <v>0</v>
      </c>
      <c r="K12" s="192">
        <f t="shared" si="2"/>
        <v>0</v>
      </c>
      <c r="L12" s="193">
        <v>0</v>
      </c>
      <c r="M12" s="144">
        <v>0</v>
      </c>
      <c r="N12" s="192">
        <f t="shared" si="3"/>
        <v>0</v>
      </c>
      <c r="O12" s="193">
        <v>0</v>
      </c>
      <c r="P12" s="144">
        <v>0</v>
      </c>
      <c r="Q12" s="144">
        <v>0</v>
      </c>
      <c r="R12" s="192">
        <f t="shared" si="4"/>
        <v>0</v>
      </c>
      <c r="S12" s="193">
        <v>0</v>
      </c>
      <c r="T12" s="144">
        <v>0</v>
      </c>
      <c r="U12" s="144">
        <v>0</v>
      </c>
      <c r="V12" s="192">
        <f t="shared" si="5"/>
        <v>0</v>
      </c>
      <c r="W12" s="193">
        <v>0</v>
      </c>
      <c r="X12" s="192">
        <f t="shared" si="6"/>
        <v>0</v>
      </c>
      <c r="Y12" s="193">
        <v>0</v>
      </c>
      <c r="Z12" s="144">
        <v>0</v>
      </c>
      <c r="AA12" s="192">
        <f t="shared" si="7"/>
        <v>0</v>
      </c>
      <c r="AB12" s="193">
        <v>0</v>
      </c>
      <c r="AC12" s="144">
        <v>0</v>
      </c>
      <c r="AD12" s="192">
        <f t="shared" si="8"/>
        <v>0</v>
      </c>
    </row>
    <row r="13" spans="1:30" x14ac:dyDescent="0.25">
      <c r="A13" s="199" t="s">
        <v>18</v>
      </c>
      <c r="B13" s="185" t="s">
        <v>90</v>
      </c>
      <c r="C13" s="188">
        <v>0</v>
      </c>
      <c r="D13" s="144"/>
      <c r="E13" s="328"/>
      <c r="F13" s="278">
        <f t="shared" si="1"/>
        <v>0</v>
      </c>
      <c r="G13" s="193">
        <v>0</v>
      </c>
      <c r="H13" s="192">
        <f t="shared" si="0"/>
        <v>0</v>
      </c>
      <c r="I13" s="187">
        <v>0</v>
      </c>
      <c r="J13" s="144">
        <v>0</v>
      </c>
      <c r="K13" s="192">
        <f t="shared" si="2"/>
        <v>0</v>
      </c>
      <c r="L13" s="193">
        <v>0</v>
      </c>
      <c r="M13" s="144">
        <v>0</v>
      </c>
      <c r="N13" s="192">
        <f t="shared" si="3"/>
        <v>0</v>
      </c>
      <c r="O13" s="193">
        <v>0</v>
      </c>
      <c r="P13" s="144">
        <v>0</v>
      </c>
      <c r="Q13" s="144">
        <v>0</v>
      </c>
      <c r="R13" s="192">
        <f t="shared" si="4"/>
        <v>0</v>
      </c>
      <c r="S13" s="193">
        <v>0</v>
      </c>
      <c r="T13" s="144">
        <v>0</v>
      </c>
      <c r="U13" s="144">
        <v>0</v>
      </c>
      <c r="V13" s="192">
        <f t="shared" si="5"/>
        <v>0</v>
      </c>
      <c r="W13" s="193">
        <v>0</v>
      </c>
      <c r="X13" s="192">
        <f t="shared" si="6"/>
        <v>0</v>
      </c>
      <c r="Y13" s="193">
        <v>0</v>
      </c>
      <c r="Z13" s="144">
        <v>0</v>
      </c>
      <c r="AA13" s="192">
        <f t="shared" si="7"/>
        <v>0</v>
      </c>
      <c r="AB13" s="193">
        <v>0</v>
      </c>
      <c r="AC13" s="144">
        <v>0</v>
      </c>
      <c r="AD13" s="192">
        <f t="shared" si="8"/>
        <v>0</v>
      </c>
    </row>
    <row r="14" spans="1:30" x14ac:dyDescent="0.25">
      <c r="A14" s="199" t="s">
        <v>19</v>
      </c>
      <c r="B14" s="185" t="s">
        <v>91</v>
      </c>
      <c r="C14" s="188">
        <v>0</v>
      </c>
      <c r="D14" s="144"/>
      <c r="E14" s="328"/>
      <c r="F14" s="278">
        <f t="shared" si="1"/>
        <v>0</v>
      </c>
      <c r="G14" s="193">
        <v>0</v>
      </c>
      <c r="H14" s="192">
        <f t="shared" si="0"/>
        <v>0</v>
      </c>
      <c r="I14" s="187">
        <v>0</v>
      </c>
      <c r="J14" s="144">
        <v>0</v>
      </c>
      <c r="K14" s="192">
        <f t="shared" si="2"/>
        <v>0</v>
      </c>
      <c r="L14" s="193">
        <v>0</v>
      </c>
      <c r="M14" s="144">
        <v>0</v>
      </c>
      <c r="N14" s="192">
        <f t="shared" si="3"/>
        <v>0</v>
      </c>
      <c r="O14" s="193">
        <v>0</v>
      </c>
      <c r="P14" s="144">
        <v>0</v>
      </c>
      <c r="Q14" s="144">
        <v>0</v>
      </c>
      <c r="R14" s="192">
        <f t="shared" si="4"/>
        <v>0</v>
      </c>
      <c r="S14" s="193">
        <v>0</v>
      </c>
      <c r="T14" s="144">
        <v>0</v>
      </c>
      <c r="U14" s="144">
        <v>0</v>
      </c>
      <c r="V14" s="192">
        <f t="shared" si="5"/>
        <v>0</v>
      </c>
      <c r="W14" s="193">
        <v>0</v>
      </c>
      <c r="X14" s="192">
        <f t="shared" si="6"/>
        <v>0</v>
      </c>
      <c r="Y14" s="193">
        <v>0</v>
      </c>
      <c r="Z14" s="144">
        <v>0</v>
      </c>
      <c r="AA14" s="192">
        <f t="shared" si="7"/>
        <v>0</v>
      </c>
      <c r="AB14" s="193">
        <v>0</v>
      </c>
      <c r="AC14" s="144">
        <v>0</v>
      </c>
      <c r="AD14" s="192">
        <f t="shared" si="8"/>
        <v>0</v>
      </c>
    </row>
    <row r="15" spans="1:30" x14ac:dyDescent="0.25">
      <c r="A15" s="200" t="s">
        <v>20</v>
      </c>
      <c r="B15" s="186" t="s">
        <v>92</v>
      </c>
      <c r="C15" s="193">
        <f>C7+C8+C9+C10+C11+C12+C13+C14</f>
        <v>3259263</v>
      </c>
      <c r="D15" s="144">
        <f>D7+D8+D9+D10+D11+D12+D13+D14</f>
        <v>38100</v>
      </c>
      <c r="E15" s="144">
        <f>E7+E8+E9+E10+E11+E12+E13+E14</f>
        <v>14144</v>
      </c>
      <c r="F15" s="278">
        <f t="shared" si="1"/>
        <v>3311507</v>
      </c>
      <c r="G15" s="193">
        <f>G7+G8+G9+G10+G11+G12+G13+G14</f>
        <v>8334</v>
      </c>
      <c r="H15" s="192">
        <f t="shared" si="0"/>
        <v>8334</v>
      </c>
      <c r="I15" s="187">
        <f>I7+I8+I9+I10+I11+I12+I13+I14</f>
        <v>0</v>
      </c>
      <c r="J15" s="144">
        <v>4250</v>
      </c>
      <c r="K15" s="192">
        <f t="shared" si="2"/>
        <v>4250</v>
      </c>
      <c r="L15" s="193">
        <f>L7+L8+L9+L10+L11+L12+L13+L14</f>
        <v>5200</v>
      </c>
      <c r="M15" s="144">
        <f>M7+M8+M9+M10+M11+M12+M13+M14</f>
        <v>2726</v>
      </c>
      <c r="N15" s="192">
        <f t="shared" si="3"/>
        <v>7926</v>
      </c>
      <c r="O15" s="193">
        <f>O7+O8+O9+O10+O11+O12+O13+O14</f>
        <v>635</v>
      </c>
      <c r="P15" s="144">
        <f>P7+P8+P9+P10+P11+P12+P13+P14</f>
        <v>0</v>
      </c>
      <c r="Q15" s="144">
        <f>Q7+Q8+Q9+Q10+Q11+Q12+Q13+Q14</f>
        <v>12580</v>
      </c>
      <c r="R15" s="192">
        <f t="shared" si="4"/>
        <v>13215</v>
      </c>
      <c r="S15" s="193">
        <v>0</v>
      </c>
      <c r="T15" s="144">
        <f>T7+T8+T9+T10+T11+T12+T13+T14</f>
        <v>0</v>
      </c>
      <c r="U15" s="144">
        <f>U7+U8+U9+U10+U11+U12+U13+U14</f>
        <v>4889</v>
      </c>
      <c r="V15" s="192">
        <f t="shared" si="5"/>
        <v>4889</v>
      </c>
      <c r="W15" s="193">
        <f>W7+W8+W9+W10+W11+W12+W13+W14</f>
        <v>18600</v>
      </c>
      <c r="X15" s="192">
        <f t="shared" si="6"/>
        <v>18600</v>
      </c>
      <c r="Y15" s="193">
        <f>Y7+Y8+Y9+Y10+Y11+Y12+Y13+Y14</f>
        <v>1300</v>
      </c>
      <c r="Z15" s="193">
        <f>Z7+Z8+Z9+Z10+Z11+Z12+Z13+Z14</f>
        <v>0</v>
      </c>
      <c r="AA15" s="192">
        <f t="shared" si="7"/>
        <v>1300</v>
      </c>
      <c r="AB15" s="193">
        <v>0</v>
      </c>
      <c r="AC15" s="144">
        <v>0</v>
      </c>
      <c r="AD15" s="192">
        <f t="shared" si="8"/>
        <v>0</v>
      </c>
    </row>
    <row r="16" spans="1:30" x14ac:dyDescent="0.25">
      <c r="A16" s="199" t="s">
        <v>21</v>
      </c>
      <c r="B16" s="185" t="s">
        <v>93</v>
      </c>
      <c r="C16" s="188">
        <v>350000</v>
      </c>
      <c r="D16" s="144"/>
      <c r="E16" s="328"/>
      <c r="F16" s="278">
        <f t="shared" si="1"/>
        <v>350000</v>
      </c>
      <c r="G16" s="193">
        <v>0</v>
      </c>
      <c r="H16" s="192">
        <f t="shared" si="0"/>
        <v>0</v>
      </c>
      <c r="I16" s="187">
        <v>0</v>
      </c>
      <c r="J16" s="144">
        <v>0</v>
      </c>
      <c r="K16" s="192">
        <f t="shared" si="2"/>
        <v>0</v>
      </c>
      <c r="L16" s="193">
        <v>0</v>
      </c>
      <c r="M16" s="144">
        <v>0</v>
      </c>
      <c r="N16" s="192">
        <f t="shared" si="3"/>
        <v>0</v>
      </c>
      <c r="O16" s="193">
        <v>0</v>
      </c>
      <c r="P16" s="144">
        <v>0</v>
      </c>
      <c r="Q16" s="144">
        <v>0</v>
      </c>
      <c r="R16" s="192">
        <f t="shared" si="4"/>
        <v>0</v>
      </c>
      <c r="S16" s="193">
        <v>0</v>
      </c>
      <c r="T16" s="144">
        <v>0</v>
      </c>
      <c r="U16" s="144">
        <v>0</v>
      </c>
      <c r="V16" s="192">
        <f t="shared" si="5"/>
        <v>0</v>
      </c>
      <c r="W16" s="193">
        <v>0</v>
      </c>
      <c r="X16" s="192">
        <f t="shared" si="6"/>
        <v>0</v>
      </c>
      <c r="Y16" s="193">
        <v>0</v>
      </c>
      <c r="Z16" s="144">
        <v>0</v>
      </c>
      <c r="AA16" s="192">
        <f t="shared" si="7"/>
        <v>0</v>
      </c>
      <c r="AB16" s="193">
        <v>0</v>
      </c>
      <c r="AC16" s="144">
        <v>0</v>
      </c>
      <c r="AD16" s="192">
        <f t="shared" si="8"/>
        <v>0</v>
      </c>
    </row>
    <row r="17" spans="1:30" x14ac:dyDescent="0.25">
      <c r="A17" s="199" t="s">
        <v>22</v>
      </c>
      <c r="B17" s="185" t="s">
        <v>94</v>
      </c>
      <c r="C17" s="188">
        <v>0</v>
      </c>
      <c r="D17" s="144"/>
      <c r="E17" s="328"/>
      <c r="F17" s="278">
        <f t="shared" si="1"/>
        <v>0</v>
      </c>
      <c r="G17" s="193">
        <v>0</v>
      </c>
      <c r="H17" s="192">
        <f t="shared" si="0"/>
        <v>0</v>
      </c>
      <c r="I17" s="187">
        <v>0</v>
      </c>
      <c r="J17" s="144">
        <v>0</v>
      </c>
      <c r="K17" s="192">
        <f t="shared" si="2"/>
        <v>0</v>
      </c>
      <c r="L17" s="193">
        <v>0</v>
      </c>
      <c r="M17" s="144">
        <v>0</v>
      </c>
      <c r="N17" s="192">
        <f t="shared" si="3"/>
        <v>0</v>
      </c>
      <c r="O17" s="193">
        <v>0</v>
      </c>
      <c r="P17" s="144">
        <v>0</v>
      </c>
      <c r="Q17" s="144">
        <v>0</v>
      </c>
      <c r="R17" s="192">
        <f t="shared" si="4"/>
        <v>0</v>
      </c>
      <c r="S17" s="193">
        <v>0</v>
      </c>
      <c r="T17" s="144">
        <v>0</v>
      </c>
      <c r="U17" s="144">
        <v>0</v>
      </c>
      <c r="V17" s="192">
        <f t="shared" si="5"/>
        <v>0</v>
      </c>
      <c r="W17" s="193">
        <v>0</v>
      </c>
      <c r="X17" s="192">
        <f t="shared" si="6"/>
        <v>0</v>
      </c>
      <c r="Y17" s="193">
        <v>0</v>
      </c>
      <c r="Z17" s="144">
        <v>0</v>
      </c>
      <c r="AA17" s="192">
        <f t="shared" si="7"/>
        <v>0</v>
      </c>
      <c r="AB17" s="193">
        <v>0</v>
      </c>
      <c r="AC17" s="144">
        <v>0</v>
      </c>
      <c r="AD17" s="192">
        <f t="shared" si="8"/>
        <v>0</v>
      </c>
    </row>
    <row r="18" spans="1:30" x14ac:dyDescent="0.25">
      <c r="A18" s="199" t="s">
        <v>23</v>
      </c>
      <c r="B18" s="185" t="s">
        <v>172</v>
      </c>
      <c r="C18" s="188">
        <v>326000</v>
      </c>
      <c r="D18" s="144"/>
      <c r="E18" s="328"/>
      <c r="F18" s="278">
        <f t="shared" si="1"/>
        <v>326000</v>
      </c>
      <c r="G18" s="193">
        <v>0</v>
      </c>
      <c r="H18" s="192">
        <f t="shared" si="0"/>
        <v>0</v>
      </c>
      <c r="I18" s="187">
        <v>0</v>
      </c>
      <c r="J18" s="144">
        <v>0</v>
      </c>
      <c r="K18" s="192">
        <f t="shared" si="2"/>
        <v>0</v>
      </c>
      <c r="L18" s="193">
        <v>0</v>
      </c>
      <c r="M18" s="144">
        <v>0</v>
      </c>
      <c r="N18" s="192">
        <f t="shared" si="3"/>
        <v>0</v>
      </c>
      <c r="O18" s="193">
        <v>0</v>
      </c>
      <c r="P18" s="144">
        <v>0</v>
      </c>
      <c r="Q18" s="144">
        <v>0</v>
      </c>
      <c r="R18" s="192">
        <f t="shared" si="4"/>
        <v>0</v>
      </c>
      <c r="S18" s="193">
        <v>0</v>
      </c>
      <c r="T18" s="144">
        <v>0</v>
      </c>
      <c r="U18" s="144">
        <v>0</v>
      </c>
      <c r="V18" s="192">
        <f t="shared" si="5"/>
        <v>0</v>
      </c>
      <c r="W18" s="193">
        <v>0</v>
      </c>
      <c r="X18" s="192">
        <f t="shared" si="6"/>
        <v>0</v>
      </c>
      <c r="Y18" s="193">
        <v>0</v>
      </c>
      <c r="Z18" s="144">
        <v>0</v>
      </c>
      <c r="AA18" s="192">
        <f t="shared" si="7"/>
        <v>0</v>
      </c>
      <c r="AB18" s="193">
        <v>0</v>
      </c>
      <c r="AC18" s="144">
        <v>0</v>
      </c>
      <c r="AD18" s="192">
        <f t="shared" si="8"/>
        <v>0</v>
      </c>
    </row>
    <row r="19" spans="1:30" x14ac:dyDescent="0.25">
      <c r="A19" s="199" t="s">
        <v>24</v>
      </c>
      <c r="B19" s="185" t="s">
        <v>96</v>
      </c>
      <c r="C19" s="188">
        <v>0</v>
      </c>
      <c r="D19" s="144"/>
      <c r="E19" s="328"/>
      <c r="F19" s="278">
        <f t="shared" si="1"/>
        <v>0</v>
      </c>
      <c r="G19" s="193">
        <v>384636</v>
      </c>
      <c r="H19" s="192">
        <f t="shared" si="0"/>
        <v>384636</v>
      </c>
      <c r="I19" s="187">
        <v>57823</v>
      </c>
      <c r="J19" s="144">
        <v>2964</v>
      </c>
      <c r="K19" s="192">
        <f t="shared" si="2"/>
        <v>60787</v>
      </c>
      <c r="L19" s="193">
        <v>93151</v>
      </c>
      <c r="M19" s="144">
        <v>7434</v>
      </c>
      <c r="N19" s="192">
        <f t="shared" si="3"/>
        <v>100585</v>
      </c>
      <c r="O19" s="193">
        <v>196691</v>
      </c>
      <c r="P19" s="144">
        <v>11161</v>
      </c>
      <c r="Q19" s="144">
        <v>35680</v>
      </c>
      <c r="R19" s="192">
        <f t="shared" si="4"/>
        <v>243532</v>
      </c>
      <c r="S19" s="193">
        <v>141197</v>
      </c>
      <c r="T19" s="144">
        <v>9626</v>
      </c>
      <c r="U19" s="144">
        <v>24321</v>
      </c>
      <c r="V19" s="192">
        <f t="shared" si="5"/>
        <v>175144</v>
      </c>
      <c r="W19" s="193">
        <v>30529</v>
      </c>
      <c r="X19" s="192">
        <f t="shared" si="6"/>
        <v>30529</v>
      </c>
      <c r="Y19" s="193">
        <v>21878</v>
      </c>
      <c r="Z19" s="144">
        <v>1575</v>
      </c>
      <c r="AA19" s="192">
        <f t="shared" si="7"/>
        <v>23453</v>
      </c>
      <c r="AB19" s="193">
        <v>33740</v>
      </c>
      <c r="AC19" s="144">
        <v>28530</v>
      </c>
      <c r="AD19" s="192">
        <f t="shared" si="8"/>
        <v>62270</v>
      </c>
    </row>
    <row r="20" spans="1:30" x14ac:dyDescent="0.25">
      <c r="A20" s="199"/>
      <c r="B20" s="185" t="s">
        <v>240</v>
      </c>
      <c r="C20" s="188">
        <v>0</v>
      </c>
      <c r="D20" s="144"/>
      <c r="E20" s="328"/>
      <c r="F20" s="278">
        <f t="shared" si="1"/>
        <v>0</v>
      </c>
      <c r="G20" s="193">
        <v>384636</v>
      </c>
      <c r="H20" s="192">
        <f t="shared" si="0"/>
        <v>384636</v>
      </c>
      <c r="I20" s="187">
        <v>57823</v>
      </c>
      <c r="J20" s="144">
        <v>2964</v>
      </c>
      <c r="K20" s="192">
        <f t="shared" si="2"/>
        <v>60787</v>
      </c>
      <c r="L20" s="193">
        <v>93151</v>
      </c>
      <c r="M20" s="144">
        <v>7434</v>
      </c>
      <c r="N20" s="192">
        <f t="shared" si="3"/>
        <v>100585</v>
      </c>
      <c r="O20" s="193">
        <v>196691</v>
      </c>
      <c r="P20" s="144">
        <v>11161</v>
      </c>
      <c r="Q20" s="144">
        <v>35680</v>
      </c>
      <c r="R20" s="192">
        <f t="shared" si="4"/>
        <v>243532</v>
      </c>
      <c r="S20" s="193">
        <v>141197</v>
      </c>
      <c r="T20" s="144">
        <v>9626</v>
      </c>
      <c r="U20" s="144">
        <v>24321</v>
      </c>
      <c r="V20" s="192">
        <f t="shared" si="5"/>
        <v>175144</v>
      </c>
      <c r="W20" s="193">
        <v>30529</v>
      </c>
      <c r="X20" s="192">
        <f t="shared" si="6"/>
        <v>30529</v>
      </c>
      <c r="Y20" s="193">
        <v>21878</v>
      </c>
      <c r="Z20" s="144">
        <v>1575</v>
      </c>
      <c r="AA20" s="192">
        <f t="shared" si="7"/>
        <v>23453</v>
      </c>
      <c r="AB20" s="193">
        <v>33740</v>
      </c>
      <c r="AC20" s="144">
        <v>28530</v>
      </c>
      <c r="AD20" s="192">
        <f t="shared" si="8"/>
        <v>62270</v>
      </c>
    </row>
    <row r="21" spans="1:30" x14ac:dyDescent="0.25">
      <c r="A21" s="199" t="s">
        <v>25</v>
      </c>
      <c r="B21" s="185" t="s">
        <v>98</v>
      </c>
      <c r="C21" s="188">
        <v>0</v>
      </c>
      <c r="D21" s="144"/>
      <c r="E21" s="328"/>
      <c r="F21" s="278">
        <f t="shared" si="1"/>
        <v>0</v>
      </c>
      <c r="G21" s="193">
        <v>0</v>
      </c>
      <c r="H21" s="192">
        <f t="shared" si="0"/>
        <v>0</v>
      </c>
      <c r="I21" s="187">
        <v>0</v>
      </c>
      <c r="J21" s="144">
        <v>0</v>
      </c>
      <c r="K21" s="192">
        <f t="shared" si="2"/>
        <v>0</v>
      </c>
      <c r="L21" s="193">
        <v>0</v>
      </c>
      <c r="M21" s="144">
        <v>0</v>
      </c>
      <c r="N21" s="192">
        <f t="shared" si="3"/>
        <v>0</v>
      </c>
      <c r="O21" s="193">
        <v>0</v>
      </c>
      <c r="P21" s="144">
        <v>0</v>
      </c>
      <c r="Q21" s="144">
        <v>0</v>
      </c>
      <c r="R21" s="192">
        <f t="shared" si="4"/>
        <v>0</v>
      </c>
      <c r="S21" s="193">
        <v>0</v>
      </c>
      <c r="T21" s="144">
        <v>0</v>
      </c>
      <c r="U21" s="144">
        <v>0</v>
      </c>
      <c r="V21" s="192">
        <f t="shared" si="5"/>
        <v>0</v>
      </c>
      <c r="W21" s="193">
        <v>0</v>
      </c>
      <c r="X21" s="192">
        <f t="shared" si="6"/>
        <v>0</v>
      </c>
      <c r="Y21" s="193">
        <v>0</v>
      </c>
      <c r="Z21" s="144">
        <v>0</v>
      </c>
      <c r="AA21" s="192">
        <f t="shared" si="7"/>
        <v>0</v>
      </c>
      <c r="AB21" s="193">
        <v>0</v>
      </c>
      <c r="AC21" s="144">
        <v>0</v>
      </c>
      <c r="AD21" s="192">
        <f t="shared" si="8"/>
        <v>0</v>
      </c>
    </row>
    <row r="22" spans="1:30" ht="23.25" x14ac:dyDescent="0.25">
      <c r="A22" s="199" t="s">
        <v>26</v>
      </c>
      <c r="B22" s="185" t="s">
        <v>99</v>
      </c>
      <c r="C22" s="188">
        <v>0</v>
      </c>
      <c r="D22" s="144"/>
      <c r="E22" s="328"/>
      <c r="F22" s="278">
        <f t="shared" si="1"/>
        <v>0</v>
      </c>
      <c r="G22" s="193">
        <v>0</v>
      </c>
      <c r="H22" s="192">
        <f t="shared" si="0"/>
        <v>0</v>
      </c>
      <c r="I22" s="187">
        <v>0</v>
      </c>
      <c r="J22" s="144">
        <v>0</v>
      </c>
      <c r="K22" s="192">
        <f t="shared" si="2"/>
        <v>0</v>
      </c>
      <c r="L22" s="193">
        <v>0</v>
      </c>
      <c r="M22" s="144">
        <v>0</v>
      </c>
      <c r="N22" s="192">
        <f t="shared" si="3"/>
        <v>0</v>
      </c>
      <c r="O22" s="193">
        <v>0</v>
      </c>
      <c r="P22" s="144">
        <v>0</v>
      </c>
      <c r="Q22" s="144">
        <v>0</v>
      </c>
      <c r="R22" s="192">
        <f t="shared" si="4"/>
        <v>0</v>
      </c>
      <c r="S22" s="193">
        <v>0</v>
      </c>
      <c r="T22" s="144">
        <v>0</v>
      </c>
      <c r="U22" s="144">
        <v>0</v>
      </c>
      <c r="V22" s="192">
        <f t="shared" si="5"/>
        <v>0</v>
      </c>
      <c r="W22" s="193">
        <v>0</v>
      </c>
      <c r="X22" s="192">
        <f t="shared" si="6"/>
        <v>0</v>
      </c>
      <c r="Y22" s="193">
        <v>0</v>
      </c>
      <c r="Z22" s="144">
        <v>0</v>
      </c>
      <c r="AA22" s="192">
        <f t="shared" si="7"/>
        <v>0</v>
      </c>
      <c r="AB22" s="193">
        <v>0</v>
      </c>
      <c r="AC22" s="144">
        <v>0</v>
      </c>
      <c r="AD22" s="192">
        <f t="shared" si="8"/>
        <v>0</v>
      </c>
    </row>
    <row r="23" spans="1:30" x14ac:dyDescent="0.25">
      <c r="A23" s="199" t="s">
        <v>27</v>
      </c>
      <c r="B23" s="186" t="s">
        <v>100</v>
      </c>
      <c r="C23" s="193">
        <f>C16+C17+C18+C19+C21+C22</f>
        <v>676000</v>
      </c>
      <c r="D23" s="144"/>
      <c r="E23" s="328"/>
      <c r="F23" s="278">
        <f t="shared" si="1"/>
        <v>676000</v>
      </c>
      <c r="G23" s="193">
        <f>G16+G17+G18+G19+G21+G22</f>
        <v>384636</v>
      </c>
      <c r="H23" s="192">
        <f t="shared" si="0"/>
        <v>384636</v>
      </c>
      <c r="I23" s="187">
        <f>I16+I17+I18+I19+I21+I22</f>
        <v>57823</v>
      </c>
      <c r="J23" s="144">
        <f>J16+J17+J18+J19+J21+J22</f>
        <v>2964</v>
      </c>
      <c r="K23" s="192">
        <f t="shared" si="2"/>
        <v>60787</v>
      </c>
      <c r="L23" s="193">
        <f>L16+L17+L18+L19+L21+L22</f>
        <v>93151</v>
      </c>
      <c r="M23" s="144">
        <f>M16+M17+M18+M19+M21+M22</f>
        <v>7434</v>
      </c>
      <c r="N23" s="192">
        <f t="shared" si="3"/>
        <v>100585</v>
      </c>
      <c r="O23" s="193">
        <f>O16+O17+O18+O19+O21+O22</f>
        <v>196691</v>
      </c>
      <c r="P23" s="144">
        <f>P16+P17+P18+P19+P21+P22</f>
        <v>11161</v>
      </c>
      <c r="Q23" s="144">
        <f>Q16+Q17+Q18+Q19+Q21+Q22</f>
        <v>35680</v>
      </c>
      <c r="R23" s="192">
        <f t="shared" si="4"/>
        <v>243532</v>
      </c>
      <c r="S23" s="193">
        <f>S16+S17+S18+S19+S21+S22</f>
        <v>141197</v>
      </c>
      <c r="T23" s="144">
        <f>T16+T17+T18+T19+T21+T22</f>
        <v>9626</v>
      </c>
      <c r="U23" s="144">
        <f>U16+U17+U18+U19+U21+U22</f>
        <v>24321</v>
      </c>
      <c r="V23" s="192">
        <f t="shared" si="5"/>
        <v>175144</v>
      </c>
      <c r="W23" s="193">
        <f>W16+W17+W18+W19+W21+W22</f>
        <v>30529</v>
      </c>
      <c r="X23" s="192">
        <f t="shared" si="6"/>
        <v>30529</v>
      </c>
      <c r="Y23" s="193">
        <f>Y16+Y17+Y18+Y19+Y21+Y22</f>
        <v>21878</v>
      </c>
      <c r="Z23" s="144">
        <f>Z16+Z17+Z18+Z19+Z21+Z22</f>
        <v>1575</v>
      </c>
      <c r="AA23" s="192">
        <f t="shared" si="7"/>
        <v>23453</v>
      </c>
      <c r="AB23" s="193">
        <f>AB16+AB17+AB18+AB19+AB21+AB22</f>
        <v>33740</v>
      </c>
      <c r="AC23" s="144">
        <f>AC16+AC17+AC18+AC19+AC21+AC22</f>
        <v>28530</v>
      </c>
      <c r="AD23" s="192">
        <f t="shared" si="8"/>
        <v>62270</v>
      </c>
    </row>
    <row r="24" spans="1:30" ht="24" thickBot="1" x14ac:dyDescent="0.3">
      <c r="A24" s="201" t="s">
        <v>28</v>
      </c>
      <c r="B24" s="202" t="s">
        <v>101</v>
      </c>
      <c r="C24" s="196">
        <f>C15+C23</f>
        <v>3935263</v>
      </c>
      <c r="D24" s="197">
        <f>D15+D23</f>
        <v>38100</v>
      </c>
      <c r="E24" s="197">
        <f>E15+E23</f>
        <v>14144</v>
      </c>
      <c r="F24" s="278">
        <f t="shared" si="1"/>
        <v>3987507</v>
      </c>
      <c r="G24" s="196">
        <f>G15+G23</f>
        <v>392970</v>
      </c>
      <c r="H24" s="194">
        <f t="shared" si="0"/>
        <v>392970</v>
      </c>
      <c r="I24" s="198">
        <f>I15+I23</f>
        <v>57823</v>
      </c>
      <c r="J24" s="197">
        <f>J15+J23</f>
        <v>7214</v>
      </c>
      <c r="K24" s="194">
        <f t="shared" si="2"/>
        <v>65037</v>
      </c>
      <c r="L24" s="196">
        <f>L15+L23</f>
        <v>98351</v>
      </c>
      <c r="M24" s="197">
        <f>M15+M23</f>
        <v>10160</v>
      </c>
      <c r="N24" s="194">
        <f t="shared" si="3"/>
        <v>108511</v>
      </c>
      <c r="O24" s="196">
        <f>O15+O23</f>
        <v>197326</v>
      </c>
      <c r="P24" s="197">
        <f>P15+P23</f>
        <v>11161</v>
      </c>
      <c r="Q24" s="197">
        <f>Q15+Q23</f>
        <v>48260</v>
      </c>
      <c r="R24" s="194">
        <f t="shared" si="4"/>
        <v>256747</v>
      </c>
      <c r="S24" s="196">
        <f>S15+S23</f>
        <v>141197</v>
      </c>
      <c r="T24" s="197">
        <f>T15+T23</f>
        <v>9626</v>
      </c>
      <c r="U24" s="197">
        <f>U15+U23</f>
        <v>29210</v>
      </c>
      <c r="V24" s="194">
        <f t="shared" si="5"/>
        <v>180033</v>
      </c>
      <c r="W24" s="196">
        <f>W15+W23</f>
        <v>49129</v>
      </c>
      <c r="X24" s="194">
        <f t="shared" si="6"/>
        <v>49129</v>
      </c>
      <c r="Y24" s="196">
        <f>Y15+Y23</f>
        <v>23178</v>
      </c>
      <c r="Z24" s="197">
        <f>Z15+Z23</f>
        <v>1575</v>
      </c>
      <c r="AA24" s="194">
        <f t="shared" si="7"/>
        <v>24753</v>
      </c>
      <c r="AB24" s="196">
        <f>AB15+AB23</f>
        <v>33740</v>
      </c>
      <c r="AC24" s="197">
        <f>AC15+AC23</f>
        <v>28530</v>
      </c>
      <c r="AD24" s="194">
        <f t="shared" si="8"/>
        <v>62270</v>
      </c>
    </row>
    <row r="25" spans="1:30" x14ac:dyDescent="0.25">
      <c r="A25" s="104"/>
      <c r="B25" s="43"/>
      <c r="C25" s="46"/>
      <c r="D25" s="46"/>
      <c r="E25" s="46"/>
      <c r="F25" s="109"/>
      <c r="AB25" s="181"/>
      <c r="AC25" s="181"/>
      <c r="AD25" s="181"/>
    </row>
    <row r="26" spans="1:30" ht="15.75" thickBot="1" x14ac:dyDescent="0.3">
      <c r="A26" s="177"/>
      <c r="B26" s="47"/>
      <c r="C26" s="54"/>
      <c r="D26" s="44"/>
      <c r="E26" s="44"/>
      <c r="F26" s="44"/>
      <c r="AB26" s="181"/>
      <c r="AC26" s="181"/>
      <c r="AD26" s="181"/>
    </row>
    <row r="27" spans="1:30" s="209" customFormat="1" ht="26.25" customHeight="1" thickBot="1" x14ac:dyDescent="0.3">
      <c r="A27" s="225"/>
      <c r="B27" s="226" t="s">
        <v>6</v>
      </c>
      <c r="C27" s="954" t="s">
        <v>243</v>
      </c>
      <c r="D27" s="955"/>
      <c r="E27" s="956"/>
      <c r="F27" s="957"/>
      <c r="G27" s="958" t="s">
        <v>277</v>
      </c>
      <c r="H27" s="959"/>
      <c r="I27" s="954" t="s">
        <v>278</v>
      </c>
      <c r="J27" s="955"/>
      <c r="K27" s="957"/>
      <c r="L27" s="954" t="s">
        <v>279</v>
      </c>
      <c r="M27" s="955"/>
      <c r="N27" s="957"/>
      <c r="O27" s="954" t="s">
        <v>280</v>
      </c>
      <c r="P27" s="955"/>
      <c r="Q27" s="955"/>
      <c r="R27" s="957"/>
      <c r="S27" s="954" t="s">
        <v>281</v>
      </c>
      <c r="T27" s="955"/>
      <c r="U27" s="955"/>
      <c r="V27" s="957"/>
      <c r="W27" s="954" t="s">
        <v>130</v>
      </c>
      <c r="X27" s="957"/>
      <c r="Y27" s="954" t="s">
        <v>44</v>
      </c>
      <c r="Z27" s="955"/>
      <c r="AA27" s="957"/>
      <c r="AB27" s="960" t="s">
        <v>315</v>
      </c>
      <c r="AC27" s="961"/>
      <c r="AD27" s="962"/>
    </row>
    <row r="28" spans="1:30" s="180" customFormat="1" ht="79.5" thickBot="1" x14ac:dyDescent="0.3">
      <c r="A28" s="210" t="s">
        <v>125</v>
      </c>
      <c r="B28" s="224" t="s">
        <v>32</v>
      </c>
      <c r="C28" s="220" t="s">
        <v>290</v>
      </c>
      <c r="D28" s="221" t="s">
        <v>284</v>
      </c>
      <c r="E28" s="221" t="s">
        <v>395</v>
      </c>
      <c r="F28" s="222" t="s">
        <v>208</v>
      </c>
      <c r="G28" s="239" t="s">
        <v>290</v>
      </c>
      <c r="H28" s="238" t="s">
        <v>212</v>
      </c>
      <c r="I28" s="220" t="s">
        <v>285</v>
      </c>
      <c r="J28" s="221" t="s">
        <v>286</v>
      </c>
      <c r="K28" s="223" t="s">
        <v>212</v>
      </c>
      <c r="L28" s="220" t="s">
        <v>285</v>
      </c>
      <c r="M28" s="221" t="s">
        <v>286</v>
      </c>
      <c r="N28" s="224" t="s">
        <v>212</v>
      </c>
      <c r="O28" s="220" t="s">
        <v>282</v>
      </c>
      <c r="P28" s="221" t="s">
        <v>283</v>
      </c>
      <c r="Q28" s="221" t="s">
        <v>284</v>
      </c>
      <c r="R28" s="224" t="s">
        <v>212</v>
      </c>
      <c r="S28" s="220" t="s">
        <v>282</v>
      </c>
      <c r="T28" s="221" t="s">
        <v>283</v>
      </c>
      <c r="U28" s="221" t="s">
        <v>284</v>
      </c>
      <c r="V28" s="224" t="s">
        <v>212</v>
      </c>
      <c r="W28" s="220" t="s">
        <v>289</v>
      </c>
      <c r="X28" s="224" t="s">
        <v>212</v>
      </c>
      <c r="Y28" s="220" t="s">
        <v>287</v>
      </c>
      <c r="Z28" s="221" t="s">
        <v>288</v>
      </c>
      <c r="AA28" s="223" t="s">
        <v>212</v>
      </c>
      <c r="AB28" s="221" t="s">
        <v>316</v>
      </c>
      <c r="AC28" s="221" t="s">
        <v>317</v>
      </c>
      <c r="AD28" s="240" t="s">
        <v>212</v>
      </c>
    </row>
    <row r="29" spans="1:30" x14ac:dyDescent="0.25">
      <c r="A29" s="227" t="s">
        <v>12</v>
      </c>
      <c r="B29" s="228" t="s">
        <v>103</v>
      </c>
      <c r="C29" s="214">
        <f>C30+C31+C32+C33+C34+C35</f>
        <v>1104360</v>
      </c>
      <c r="D29" s="214">
        <f>D30+D31+D32+D33+D34+D35</f>
        <v>115570</v>
      </c>
      <c r="E29" s="214">
        <f>E30+E31+E32+E33+E34+E35</f>
        <v>14144</v>
      </c>
      <c r="F29" s="304">
        <f>SUM(C29:E29)</f>
        <v>1234074</v>
      </c>
      <c r="G29" s="309">
        <f>G30+G31+G32+G33+G34+G35</f>
        <v>386620</v>
      </c>
      <c r="H29" s="281">
        <f t="shared" ref="H29:H47" si="9">SUM(G29:G29)</f>
        <v>386620</v>
      </c>
      <c r="I29" s="305">
        <f>I30+I31+I32+I33+I34+I35</f>
        <v>57823</v>
      </c>
      <c r="J29" s="231">
        <f>J30+J31+J32+J33+J34+J35</f>
        <v>7214</v>
      </c>
      <c r="K29" s="217">
        <f>SUM(I29:J29)</f>
        <v>65037</v>
      </c>
      <c r="L29" s="230">
        <f>L30+L31+L32+L33+L34+L35</f>
        <v>98351</v>
      </c>
      <c r="M29" s="231">
        <f>M30+M31+M32+M33+M34+M35</f>
        <v>10160</v>
      </c>
      <c r="N29" s="217">
        <f>SUM(L29:M29)</f>
        <v>108511</v>
      </c>
      <c r="O29" s="229">
        <f>O30+O31+O32+O33+O34+O35</f>
        <v>197326</v>
      </c>
      <c r="P29" s="231">
        <f>P30+P31+P32+P33+P34+P35</f>
        <v>11161</v>
      </c>
      <c r="Q29" s="231">
        <f>Q30+Q31+Q32+Q33+Q34+Q35</f>
        <v>48260</v>
      </c>
      <c r="R29" s="217">
        <f>O29+P29+Q29</f>
        <v>256747</v>
      </c>
      <c r="S29" s="229">
        <f>S30+S31+S32+S33+S34+S35</f>
        <v>141197</v>
      </c>
      <c r="T29" s="231">
        <f>T30+T31+T32+T33+T34+T35</f>
        <v>9626</v>
      </c>
      <c r="U29" s="231">
        <f>U30+U31+U32+U33+U34+U35</f>
        <v>29210</v>
      </c>
      <c r="V29" s="217">
        <f>S29+T29+U29</f>
        <v>180033</v>
      </c>
      <c r="W29" s="229">
        <f>W30+W31+W32+W33+W34+W35</f>
        <v>49129</v>
      </c>
      <c r="X29" s="217">
        <f>SUM(W29)</f>
        <v>49129</v>
      </c>
      <c r="Y29" s="229">
        <f>Y30+Y31+Y32+Y33+Y34+Y35</f>
        <v>23178</v>
      </c>
      <c r="Z29" s="231">
        <f>Z30+Z31+Z32+Z33+Z34+Z35</f>
        <v>0</v>
      </c>
      <c r="AA29" s="217">
        <f>SUM(Y29:Z29)</f>
        <v>23178</v>
      </c>
      <c r="AB29" s="229">
        <f>AB30+AB31+AB32+AB33+AB34+AB35</f>
        <v>33740</v>
      </c>
      <c r="AC29" s="231">
        <f>AC30+AC31+AC32+AC33+AC34+AC35</f>
        <v>28530</v>
      </c>
      <c r="AD29" s="217">
        <f>SUM(AB29:AC29)</f>
        <v>62270</v>
      </c>
    </row>
    <row r="30" spans="1:30" x14ac:dyDescent="0.25">
      <c r="A30" s="199" t="s">
        <v>59</v>
      </c>
      <c r="B30" s="203" t="s">
        <v>171</v>
      </c>
      <c r="C30" s="188">
        <v>64448</v>
      </c>
      <c r="D30" s="29">
        <v>0</v>
      </c>
      <c r="E30" s="329">
        <v>11986</v>
      </c>
      <c r="F30" s="304">
        <f t="shared" ref="F30:F47" si="10">SUM(C30:E30)</f>
        <v>76434</v>
      </c>
      <c r="G30" s="189">
        <v>262834</v>
      </c>
      <c r="H30" s="192">
        <f t="shared" si="9"/>
        <v>262834</v>
      </c>
      <c r="I30" s="306">
        <v>42865</v>
      </c>
      <c r="J30" s="29">
        <v>0</v>
      </c>
      <c r="K30" s="192">
        <f t="shared" ref="K30:K47" si="11">SUM(I30:J30)</f>
        <v>42865</v>
      </c>
      <c r="L30" s="189">
        <v>73561</v>
      </c>
      <c r="M30" s="29">
        <v>0</v>
      </c>
      <c r="N30" s="192">
        <f t="shared" ref="N30:N47" si="12">SUM(L30:M30)</f>
        <v>73561</v>
      </c>
      <c r="O30" s="189">
        <v>160256</v>
      </c>
      <c r="P30" s="29">
        <v>0</v>
      </c>
      <c r="Q30" s="29">
        <v>0</v>
      </c>
      <c r="R30" s="192">
        <f t="shared" ref="R30:R47" si="13">O30+P30+Q30</f>
        <v>160256</v>
      </c>
      <c r="S30" s="189">
        <v>117836</v>
      </c>
      <c r="T30" s="29">
        <v>0</v>
      </c>
      <c r="U30" s="29">
        <v>0</v>
      </c>
      <c r="V30" s="192">
        <f t="shared" ref="V30:V47" si="14">S30+T30+U30</f>
        <v>117836</v>
      </c>
      <c r="W30" s="189">
        <v>24946</v>
      </c>
      <c r="X30" s="192">
        <f t="shared" ref="X30:X47" si="15">SUM(W30)</f>
        <v>24946</v>
      </c>
      <c r="Y30" s="189">
        <v>17047</v>
      </c>
      <c r="Z30" s="29">
        <v>0</v>
      </c>
      <c r="AA30" s="192">
        <f t="shared" ref="AA30:AA47" si="16">SUM(Y30:Z30)</f>
        <v>17047</v>
      </c>
      <c r="AB30" s="189">
        <v>27112</v>
      </c>
      <c r="AC30" s="29">
        <v>11817</v>
      </c>
      <c r="AD30" s="192">
        <f t="shared" ref="AD30:AD47" si="17">SUM(AB30:AC30)</f>
        <v>38929</v>
      </c>
    </row>
    <row r="31" spans="1:30" ht="23.25" x14ac:dyDescent="0.25">
      <c r="A31" s="199" t="s">
        <v>60</v>
      </c>
      <c r="B31" s="203" t="s">
        <v>173</v>
      </c>
      <c r="C31" s="188">
        <v>11486</v>
      </c>
      <c r="D31" s="29">
        <v>0</v>
      </c>
      <c r="E31" s="329">
        <v>2158</v>
      </c>
      <c r="F31" s="304">
        <f t="shared" si="10"/>
        <v>13644</v>
      </c>
      <c r="G31" s="189">
        <v>47036</v>
      </c>
      <c r="H31" s="192">
        <f t="shared" si="9"/>
        <v>47036</v>
      </c>
      <c r="I31" s="306">
        <v>7891</v>
      </c>
      <c r="J31" s="29">
        <v>0</v>
      </c>
      <c r="K31" s="192">
        <f t="shared" si="11"/>
        <v>7891</v>
      </c>
      <c r="L31" s="189">
        <v>13902</v>
      </c>
      <c r="M31" s="29">
        <v>0</v>
      </c>
      <c r="N31" s="192">
        <f t="shared" si="12"/>
        <v>13902</v>
      </c>
      <c r="O31" s="189">
        <v>32970</v>
      </c>
      <c r="P31" s="29">
        <v>0</v>
      </c>
      <c r="Q31" s="29">
        <v>0</v>
      </c>
      <c r="R31" s="192">
        <f t="shared" si="13"/>
        <v>32970</v>
      </c>
      <c r="S31" s="189">
        <v>21856</v>
      </c>
      <c r="T31" s="29">
        <v>0</v>
      </c>
      <c r="U31" s="29">
        <v>0</v>
      </c>
      <c r="V31" s="192">
        <f t="shared" si="14"/>
        <v>21856</v>
      </c>
      <c r="W31" s="189">
        <v>4568</v>
      </c>
      <c r="X31" s="192">
        <f t="shared" si="15"/>
        <v>4568</v>
      </c>
      <c r="Y31" s="189">
        <v>3088</v>
      </c>
      <c r="Z31" s="29">
        <v>0</v>
      </c>
      <c r="AA31" s="192">
        <f t="shared" si="16"/>
        <v>3088</v>
      </c>
      <c r="AB31" s="189">
        <v>4789</v>
      </c>
      <c r="AC31" s="29">
        <v>2088</v>
      </c>
      <c r="AD31" s="192">
        <f t="shared" si="17"/>
        <v>6877</v>
      </c>
    </row>
    <row r="32" spans="1:30" x14ac:dyDescent="0.25">
      <c r="A32" s="199" t="s">
        <v>61</v>
      </c>
      <c r="B32" s="203" t="s">
        <v>174</v>
      </c>
      <c r="C32" s="188">
        <v>328632</v>
      </c>
      <c r="D32" s="29">
        <v>115570</v>
      </c>
      <c r="E32" s="329">
        <v>0</v>
      </c>
      <c r="F32" s="304">
        <f t="shared" si="10"/>
        <v>444202</v>
      </c>
      <c r="G32" s="189">
        <v>76750</v>
      </c>
      <c r="H32" s="192">
        <f t="shared" si="9"/>
        <v>76750</v>
      </c>
      <c r="I32" s="306">
        <v>7067</v>
      </c>
      <c r="J32" s="29">
        <v>7214</v>
      </c>
      <c r="K32" s="192">
        <f t="shared" si="11"/>
        <v>14281</v>
      </c>
      <c r="L32" s="189">
        <v>10888</v>
      </c>
      <c r="M32" s="29">
        <v>10160</v>
      </c>
      <c r="N32" s="192">
        <f t="shared" si="12"/>
        <v>21048</v>
      </c>
      <c r="O32" s="189">
        <v>4100</v>
      </c>
      <c r="P32" s="29">
        <v>11161</v>
      </c>
      <c r="Q32" s="29">
        <v>48260</v>
      </c>
      <c r="R32" s="192">
        <f t="shared" si="13"/>
        <v>63521</v>
      </c>
      <c r="S32" s="189">
        <v>1505</v>
      </c>
      <c r="T32" s="29">
        <v>9626</v>
      </c>
      <c r="U32" s="29">
        <v>29210</v>
      </c>
      <c r="V32" s="192">
        <f t="shared" si="14"/>
        <v>40341</v>
      </c>
      <c r="W32" s="189">
        <v>19615</v>
      </c>
      <c r="X32" s="192">
        <f t="shared" si="15"/>
        <v>19615</v>
      </c>
      <c r="Y32" s="189">
        <v>3043</v>
      </c>
      <c r="Z32" s="29">
        <v>0</v>
      </c>
      <c r="AA32" s="192">
        <f t="shared" si="16"/>
        <v>3043</v>
      </c>
      <c r="AB32" s="189">
        <v>1839</v>
      </c>
      <c r="AC32" s="29">
        <v>14625</v>
      </c>
      <c r="AD32" s="192">
        <f t="shared" si="17"/>
        <v>16464</v>
      </c>
    </row>
    <row r="33" spans="1:30" x14ac:dyDescent="0.25">
      <c r="A33" s="199" t="s">
        <v>62</v>
      </c>
      <c r="B33" s="203" t="s">
        <v>180</v>
      </c>
      <c r="C33" s="188">
        <v>17000</v>
      </c>
      <c r="D33" s="29">
        <v>0</v>
      </c>
      <c r="E33" s="329">
        <v>0</v>
      </c>
      <c r="F33" s="304">
        <f t="shared" si="10"/>
        <v>17000</v>
      </c>
      <c r="G33" s="189">
        <v>0</v>
      </c>
      <c r="H33" s="192">
        <f t="shared" si="9"/>
        <v>0</v>
      </c>
      <c r="I33" s="306">
        <v>0</v>
      </c>
      <c r="J33" s="29">
        <v>0</v>
      </c>
      <c r="K33" s="192">
        <f t="shared" si="11"/>
        <v>0</v>
      </c>
      <c r="L33" s="189">
        <v>0</v>
      </c>
      <c r="M33" s="29">
        <v>0</v>
      </c>
      <c r="N33" s="192">
        <f t="shared" si="12"/>
        <v>0</v>
      </c>
      <c r="O33" s="189">
        <v>0</v>
      </c>
      <c r="P33" s="29">
        <v>0</v>
      </c>
      <c r="Q33" s="29">
        <v>0</v>
      </c>
      <c r="R33" s="192">
        <f t="shared" si="13"/>
        <v>0</v>
      </c>
      <c r="S33" s="189">
        <v>0</v>
      </c>
      <c r="T33" s="29">
        <v>0</v>
      </c>
      <c r="U33" s="29">
        <v>0</v>
      </c>
      <c r="V33" s="192">
        <f t="shared" si="14"/>
        <v>0</v>
      </c>
      <c r="W33" s="189">
        <v>0</v>
      </c>
      <c r="X33" s="192">
        <f t="shared" si="15"/>
        <v>0</v>
      </c>
      <c r="Y33" s="189">
        <v>0</v>
      </c>
      <c r="Z33" s="29">
        <v>0</v>
      </c>
      <c r="AA33" s="192">
        <f t="shared" si="16"/>
        <v>0</v>
      </c>
      <c r="AB33" s="189">
        <v>0</v>
      </c>
      <c r="AC33" s="29">
        <v>0</v>
      </c>
      <c r="AD33" s="192">
        <f t="shared" si="17"/>
        <v>0</v>
      </c>
    </row>
    <row r="34" spans="1:30" x14ac:dyDescent="0.25">
      <c r="A34" s="199" t="s">
        <v>63</v>
      </c>
      <c r="B34" s="203" t="s">
        <v>181</v>
      </c>
      <c r="C34" s="188">
        <f>682794-114000</f>
        <v>568794</v>
      </c>
      <c r="D34" s="29"/>
      <c r="E34" s="329"/>
      <c r="F34" s="304">
        <f t="shared" si="10"/>
        <v>568794</v>
      </c>
      <c r="G34" s="189">
        <v>0</v>
      </c>
      <c r="H34" s="192">
        <f t="shared" si="9"/>
        <v>0</v>
      </c>
      <c r="I34" s="306">
        <v>0</v>
      </c>
      <c r="J34" s="29">
        <v>0</v>
      </c>
      <c r="K34" s="192">
        <f t="shared" si="11"/>
        <v>0</v>
      </c>
      <c r="L34" s="189">
        <v>0</v>
      </c>
      <c r="M34" s="29">
        <v>0</v>
      </c>
      <c r="N34" s="192">
        <f t="shared" si="12"/>
        <v>0</v>
      </c>
      <c r="O34" s="189">
        <v>0</v>
      </c>
      <c r="P34" s="29">
        <v>0</v>
      </c>
      <c r="Q34" s="29">
        <v>0</v>
      </c>
      <c r="R34" s="192">
        <f t="shared" si="13"/>
        <v>0</v>
      </c>
      <c r="S34" s="189">
        <v>0</v>
      </c>
      <c r="T34" s="29">
        <v>0</v>
      </c>
      <c r="U34" s="29">
        <v>0</v>
      </c>
      <c r="V34" s="192">
        <f t="shared" si="14"/>
        <v>0</v>
      </c>
      <c r="W34" s="189">
        <v>0</v>
      </c>
      <c r="X34" s="192">
        <f t="shared" si="15"/>
        <v>0</v>
      </c>
      <c r="Y34" s="189">
        <v>0</v>
      </c>
      <c r="Z34" s="29">
        <v>0</v>
      </c>
      <c r="AA34" s="192">
        <f t="shared" si="16"/>
        <v>0</v>
      </c>
      <c r="AB34" s="189">
        <v>0</v>
      </c>
      <c r="AC34" s="29">
        <v>0</v>
      </c>
      <c r="AD34" s="192">
        <f t="shared" si="17"/>
        <v>0</v>
      </c>
    </row>
    <row r="35" spans="1:30" x14ac:dyDescent="0.25">
      <c r="A35" s="204" t="s">
        <v>106</v>
      </c>
      <c r="B35" s="203" t="s">
        <v>184</v>
      </c>
      <c r="C35" s="188">
        <v>114000</v>
      </c>
      <c r="D35" s="29"/>
      <c r="E35" s="329"/>
      <c r="F35" s="304">
        <f t="shared" si="10"/>
        <v>114000</v>
      </c>
      <c r="G35" s="189">
        <v>0</v>
      </c>
      <c r="H35" s="192">
        <f t="shared" si="9"/>
        <v>0</v>
      </c>
      <c r="I35" s="306">
        <v>0</v>
      </c>
      <c r="J35" s="29">
        <v>0</v>
      </c>
      <c r="K35" s="192">
        <f t="shared" si="11"/>
        <v>0</v>
      </c>
      <c r="L35" s="189">
        <v>0</v>
      </c>
      <c r="M35" s="29">
        <v>0</v>
      </c>
      <c r="N35" s="192">
        <f t="shared" si="12"/>
        <v>0</v>
      </c>
      <c r="O35" s="189">
        <v>0</v>
      </c>
      <c r="P35" s="29">
        <v>0</v>
      </c>
      <c r="Q35" s="29">
        <v>0</v>
      </c>
      <c r="R35" s="192">
        <f t="shared" si="13"/>
        <v>0</v>
      </c>
      <c r="S35" s="189">
        <v>0</v>
      </c>
      <c r="T35" s="29">
        <v>0</v>
      </c>
      <c r="U35" s="29">
        <v>0</v>
      </c>
      <c r="V35" s="192">
        <f t="shared" si="14"/>
        <v>0</v>
      </c>
      <c r="W35" s="189">
        <v>0</v>
      </c>
      <c r="X35" s="192">
        <f t="shared" si="15"/>
        <v>0</v>
      </c>
      <c r="Y35" s="189">
        <v>0</v>
      </c>
      <c r="Z35" s="29">
        <v>0</v>
      </c>
      <c r="AA35" s="192">
        <f t="shared" si="16"/>
        <v>0</v>
      </c>
      <c r="AB35" s="189">
        <v>0</v>
      </c>
      <c r="AC35" s="29">
        <v>0</v>
      </c>
      <c r="AD35" s="192">
        <f t="shared" si="17"/>
        <v>0</v>
      </c>
    </row>
    <row r="36" spans="1:30" x14ac:dyDescent="0.25">
      <c r="A36" s="204" t="s">
        <v>13</v>
      </c>
      <c r="B36" s="203" t="s">
        <v>113</v>
      </c>
      <c r="C36" s="188">
        <f>+C37+C39+C38</f>
        <v>1578828</v>
      </c>
      <c r="D36" s="29"/>
      <c r="E36" s="329"/>
      <c r="F36" s="304">
        <f t="shared" si="10"/>
        <v>1578828</v>
      </c>
      <c r="G36" s="189">
        <v>6350</v>
      </c>
      <c r="H36" s="192">
        <f t="shared" si="9"/>
        <v>6350</v>
      </c>
      <c r="I36" s="306">
        <v>0</v>
      </c>
      <c r="J36" s="29">
        <f>J37+J38+J39</f>
        <v>0</v>
      </c>
      <c r="K36" s="192">
        <f t="shared" si="11"/>
        <v>0</v>
      </c>
      <c r="L36" s="189">
        <v>0</v>
      </c>
      <c r="M36" s="29">
        <f>M37+M38+M39</f>
        <v>0</v>
      </c>
      <c r="N36" s="192">
        <f t="shared" si="12"/>
        <v>0</v>
      </c>
      <c r="O36" s="189">
        <f>O37+O38+O39</f>
        <v>0</v>
      </c>
      <c r="P36" s="29">
        <f>P37+P38+P39</f>
        <v>0</v>
      </c>
      <c r="Q36" s="29">
        <f>Q37+Q38+Q39</f>
        <v>0</v>
      </c>
      <c r="R36" s="192">
        <f t="shared" si="13"/>
        <v>0</v>
      </c>
      <c r="S36" s="189">
        <f>S37+S38+S39</f>
        <v>0</v>
      </c>
      <c r="T36" s="29">
        <f>T37+T38+T39</f>
        <v>0</v>
      </c>
      <c r="U36" s="29">
        <v>0</v>
      </c>
      <c r="V36" s="192">
        <f t="shared" si="14"/>
        <v>0</v>
      </c>
      <c r="W36" s="189">
        <v>0</v>
      </c>
      <c r="X36" s="192">
        <f t="shared" si="15"/>
        <v>0</v>
      </c>
      <c r="Y36" s="189">
        <f>Y37+Y38+Y39</f>
        <v>0</v>
      </c>
      <c r="Z36" s="29">
        <f>Z37+Z38+Z39</f>
        <v>1575</v>
      </c>
      <c r="AA36" s="192">
        <f t="shared" si="16"/>
        <v>1575</v>
      </c>
      <c r="AB36" s="189">
        <f>AB37+AB38+AB39</f>
        <v>0</v>
      </c>
      <c r="AC36" s="29">
        <f>AC37+AC38+AC39</f>
        <v>0</v>
      </c>
      <c r="AD36" s="192">
        <f t="shared" si="17"/>
        <v>0</v>
      </c>
    </row>
    <row r="37" spans="1:30" x14ac:dyDescent="0.25">
      <c r="A37" s="204" t="s">
        <v>54</v>
      </c>
      <c r="B37" s="203" t="s">
        <v>182</v>
      </c>
      <c r="C37" s="188">
        <v>1453828</v>
      </c>
      <c r="D37" s="29"/>
      <c r="E37" s="329"/>
      <c r="F37" s="304">
        <f t="shared" si="10"/>
        <v>1453828</v>
      </c>
      <c r="G37" s="189">
        <v>6350</v>
      </c>
      <c r="H37" s="192">
        <f t="shared" si="9"/>
        <v>6350</v>
      </c>
      <c r="I37" s="306">
        <v>0</v>
      </c>
      <c r="J37" s="29">
        <v>0</v>
      </c>
      <c r="K37" s="192">
        <f t="shared" si="11"/>
        <v>0</v>
      </c>
      <c r="L37" s="189">
        <v>0</v>
      </c>
      <c r="M37" s="29">
        <v>0</v>
      </c>
      <c r="N37" s="192">
        <f t="shared" si="12"/>
        <v>0</v>
      </c>
      <c r="O37" s="189">
        <v>0</v>
      </c>
      <c r="P37" s="29">
        <v>0</v>
      </c>
      <c r="Q37" s="29">
        <v>0</v>
      </c>
      <c r="R37" s="192">
        <f t="shared" si="13"/>
        <v>0</v>
      </c>
      <c r="S37" s="189">
        <v>0</v>
      </c>
      <c r="T37" s="29">
        <v>0</v>
      </c>
      <c r="U37" s="29">
        <v>0</v>
      </c>
      <c r="V37" s="192">
        <f t="shared" si="14"/>
        <v>0</v>
      </c>
      <c r="W37" s="189">
        <v>0</v>
      </c>
      <c r="X37" s="192">
        <f t="shared" si="15"/>
        <v>0</v>
      </c>
      <c r="Y37" s="189">
        <v>0</v>
      </c>
      <c r="Z37" s="29">
        <v>1575</v>
      </c>
      <c r="AA37" s="192">
        <f t="shared" si="16"/>
        <v>1575</v>
      </c>
      <c r="AB37" s="189">
        <v>0</v>
      </c>
      <c r="AC37" s="29">
        <v>0</v>
      </c>
      <c r="AD37" s="192">
        <f t="shared" si="17"/>
        <v>0</v>
      </c>
    </row>
    <row r="38" spans="1:30" x14ac:dyDescent="0.25">
      <c r="A38" s="204" t="s">
        <v>55</v>
      </c>
      <c r="B38" s="203" t="s">
        <v>11</v>
      </c>
      <c r="C38" s="188">
        <v>125000</v>
      </c>
      <c r="D38" s="144"/>
      <c r="E38" s="328"/>
      <c r="F38" s="304">
        <f t="shared" si="10"/>
        <v>125000</v>
      </c>
      <c r="G38" s="193">
        <v>0</v>
      </c>
      <c r="H38" s="192">
        <f t="shared" si="9"/>
        <v>0</v>
      </c>
      <c r="I38" s="307">
        <v>0</v>
      </c>
      <c r="J38" s="29">
        <v>0</v>
      </c>
      <c r="K38" s="192">
        <f t="shared" si="11"/>
        <v>0</v>
      </c>
      <c r="L38" s="195">
        <v>0</v>
      </c>
      <c r="M38" s="29">
        <v>0</v>
      </c>
      <c r="N38" s="192">
        <f t="shared" si="12"/>
        <v>0</v>
      </c>
      <c r="O38" s="193">
        <v>0</v>
      </c>
      <c r="P38" s="29">
        <v>0</v>
      </c>
      <c r="Q38" s="29">
        <v>0</v>
      </c>
      <c r="R38" s="192">
        <f t="shared" si="13"/>
        <v>0</v>
      </c>
      <c r="S38" s="193">
        <v>0</v>
      </c>
      <c r="T38" s="29">
        <v>0</v>
      </c>
      <c r="U38" s="29">
        <v>0</v>
      </c>
      <c r="V38" s="192">
        <f t="shared" si="14"/>
        <v>0</v>
      </c>
      <c r="W38" s="193">
        <v>0</v>
      </c>
      <c r="X38" s="192">
        <f t="shared" si="15"/>
        <v>0</v>
      </c>
      <c r="Y38" s="193">
        <v>0</v>
      </c>
      <c r="Z38" s="29">
        <v>0</v>
      </c>
      <c r="AA38" s="192">
        <f t="shared" si="16"/>
        <v>0</v>
      </c>
      <c r="AB38" s="193">
        <v>0</v>
      </c>
      <c r="AC38" s="29">
        <v>0</v>
      </c>
      <c r="AD38" s="192">
        <f t="shared" si="17"/>
        <v>0</v>
      </c>
    </row>
    <row r="39" spans="1:30" x14ac:dyDescent="0.25">
      <c r="A39" s="204" t="s">
        <v>64</v>
      </c>
      <c r="B39" s="203" t="s">
        <v>114</v>
      </c>
      <c r="C39" s="188">
        <v>0</v>
      </c>
      <c r="D39" s="29"/>
      <c r="E39" s="329"/>
      <c r="F39" s="304">
        <f t="shared" si="10"/>
        <v>0</v>
      </c>
      <c r="G39" s="189">
        <v>0</v>
      </c>
      <c r="H39" s="192">
        <f t="shared" si="9"/>
        <v>0</v>
      </c>
      <c r="I39" s="306">
        <v>0</v>
      </c>
      <c r="J39" s="29">
        <v>0</v>
      </c>
      <c r="K39" s="192">
        <f t="shared" si="11"/>
        <v>0</v>
      </c>
      <c r="L39" s="189">
        <v>0</v>
      </c>
      <c r="M39" s="29">
        <v>0</v>
      </c>
      <c r="N39" s="192">
        <f t="shared" si="12"/>
        <v>0</v>
      </c>
      <c r="O39" s="189">
        <v>0</v>
      </c>
      <c r="P39" s="29">
        <v>0</v>
      </c>
      <c r="Q39" s="29">
        <v>0</v>
      </c>
      <c r="R39" s="192">
        <f t="shared" si="13"/>
        <v>0</v>
      </c>
      <c r="S39" s="189">
        <v>0</v>
      </c>
      <c r="T39" s="29">
        <v>0</v>
      </c>
      <c r="U39" s="29">
        <v>0</v>
      </c>
      <c r="V39" s="192">
        <f t="shared" si="14"/>
        <v>0</v>
      </c>
      <c r="W39" s="189">
        <v>0</v>
      </c>
      <c r="X39" s="192">
        <f t="shared" si="15"/>
        <v>0</v>
      </c>
      <c r="Y39" s="189">
        <v>0</v>
      </c>
      <c r="Z39" s="29">
        <v>0</v>
      </c>
      <c r="AA39" s="192">
        <f t="shared" si="16"/>
        <v>0</v>
      </c>
      <c r="AB39" s="189">
        <v>0</v>
      </c>
      <c r="AC39" s="29">
        <v>0</v>
      </c>
      <c r="AD39" s="192">
        <f t="shared" si="17"/>
        <v>0</v>
      </c>
    </row>
    <row r="40" spans="1:30" x14ac:dyDescent="0.25">
      <c r="A40" s="204" t="s">
        <v>14</v>
      </c>
      <c r="B40" s="205" t="s">
        <v>115</v>
      </c>
      <c r="C40" s="189">
        <f>C29+C36</f>
        <v>2683188</v>
      </c>
      <c r="D40" s="29">
        <f>D29+D36</f>
        <v>115570</v>
      </c>
      <c r="E40" s="29">
        <f>E29+E36</f>
        <v>14144</v>
      </c>
      <c r="F40" s="304">
        <f t="shared" si="10"/>
        <v>2812902</v>
      </c>
      <c r="G40" s="189">
        <f>G29+G36</f>
        <v>392970</v>
      </c>
      <c r="H40" s="192">
        <f t="shared" si="9"/>
        <v>392970</v>
      </c>
      <c r="I40" s="306">
        <f>I29+I36</f>
        <v>57823</v>
      </c>
      <c r="J40" s="29">
        <f>J29+J36</f>
        <v>7214</v>
      </c>
      <c r="K40" s="192">
        <f t="shared" si="11"/>
        <v>65037</v>
      </c>
      <c r="L40" s="189">
        <f>L29+L36</f>
        <v>98351</v>
      </c>
      <c r="M40" s="29">
        <f>M29+M36</f>
        <v>10160</v>
      </c>
      <c r="N40" s="192">
        <f t="shared" si="12"/>
        <v>108511</v>
      </c>
      <c r="O40" s="189">
        <f>O29+O36</f>
        <v>197326</v>
      </c>
      <c r="P40" s="29">
        <f>P29+P36</f>
        <v>11161</v>
      </c>
      <c r="Q40" s="29">
        <f>Q29+Q36</f>
        <v>48260</v>
      </c>
      <c r="R40" s="192">
        <f t="shared" si="13"/>
        <v>256747</v>
      </c>
      <c r="S40" s="189">
        <f>S29+S36</f>
        <v>141197</v>
      </c>
      <c r="T40" s="29">
        <f>T29+T36</f>
        <v>9626</v>
      </c>
      <c r="U40" s="29">
        <f>U29+U36</f>
        <v>29210</v>
      </c>
      <c r="V40" s="192">
        <f t="shared" si="14"/>
        <v>180033</v>
      </c>
      <c r="W40" s="189">
        <f>W29+W36</f>
        <v>49129</v>
      </c>
      <c r="X40" s="192">
        <f t="shared" si="15"/>
        <v>49129</v>
      </c>
      <c r="Y40" s="189">
        <f>Y29+Y36</f>
        <v>23178</v>
      </c>
      <c r="Z40" s="29">
        <f>Z29+Z36</f>
        <v>1575</v>
      </c>
      <c r="AA40" s="192">
        <f t="shared" si="16"/>
        <v>24753</v>
      </c>
      <c r="AB40" s="189">
        <f>AB29+AB36</f>
        <v>33740</v>
      </c>
      <c r="AC40" s="29">
        <f>AC29+AC36</f>
        <v>28530</v>
      </c>
      <c r="AD40" s="192">
        <f t="shared" si="17"/>
        <v>62270</v>
      </c>
    </row>
    <row r="41" spans="1:30" ht="23.25" x14ac:dyDescent="0.25">
      <c r="A41" s="199" t="s">
        <v>15</v>
      </c>
      <c r="B41" s="203" t="s">
        <v>116</v>
      </c>
      <c r="C41" s="188">
        <v>61368</v>
      </c>
      <c r="D41" s="29"/>
      <c r="E41" s="329"/>
      <c r="F41" s="304">
        <f t="shared" si="10"/>
        <v>61368</v>
      </c>
      <c r="G41" s="189">
        <v>0</v>
      </c>
      <c r="H41" s="192">
        <f t="shared" si="9"/>
        <v>0</v>
      </c>
      <c r="I41" s="306">
        <v>0</v>
      </c>
      <c r="J41" s="29">
        <v>0</v>
      </c>
      <c r="K41" s="192">
        <f t="shared" si="11"/>
        <v>0</v>
      </c>
      <c r="L41" s="189">
        <v>0</v>
      </c>
      <c r="M41" s="29">
        <v>0</v>
      </c>
      <c r="N41" s="192">
        <f t="shared" si="12"/>
        <v>0</v>
      </c>
      <c r="O41" s="189">
        <v>0</v>
      </c>
      <c r="P41" s="29">
        <v>0</v>
      </c>
      <c r="Q41" s="29">
        <v>0</v>
      </c>
      <c r="R41" s="192">
        <f t="shared" si="13"/>
        <v>0</v>
      </c>
      <c r="S41" s="189">
        <v>0</v>
      </c>
      <c r="T41" s="29">
        <v>0</v>
      </c>
      <c r="U41" s="29">
        <v>0</v>
      </c>
      <c r="V41" s="192">
        <f t="shared" si="14"/>
        <v>0</v>
      </c>
      <c r="W41" s="189">
        <v>0</v>
      </c>
      <c r="X41" s="192">
        <f t="shared" si="15"/>
        <v>0</v>
      </c>
      <c r="Y41" s="189">
        <v>0</v>
      </c>
      <c r="Z41" s="29">
        <v>0</v>
      </c>
      <c r="AA41" s="192">
        <f t="shared" si="16"/>
        <v>0</v>
      </c>
      <c r="AB41" s="189">
        <v>0</v>
      </c>
      <c r="AC41" s="29">
        <v>0</v>
      </c>
      <c r="AD41" s="192">
        <f t="shared" si="17"/>
        <v>0</v>
      </c>
    </row>
    <row r="42" spans="1:30" x14ac:dyDescent="0.25">
      <c r="A42" s="199" t="s">
        <v>16</v>
      </c>
      <c r="B42" s="203" t="s">
        <v>396</v>
      </c>
      <c r="C42" s="188">
        <v>32301</v>
      </c>
      <c r="D42" s="29"/>
      <c r="E42" s="329"/>
      <c r="F42" s="304">
        <f t="shared" si="10"/>
        <v>32301</v>
      </c>
      <c r="G42" s="189">
        <v>0</v>
      </c>
      <c r="H42" s="192">
        <f t="shared" si="9"/>
        <v>0</v>
      </c>
      <c r="I42" s="306">
        <v>0</v>
      </c>
      <c r="J42" s="29">
        <v>0</v>
      </c>
      <c r="K42" s="192">
        <f t="shared" si="11"/>
        <v>0</v>
      </c>
      <c r="L42" s="189">
        <v>0</v>
      </c>
      <c r="M42" s="29">
        <v>0</v>
      </c>
      <c r="N42" s="192">
        <f t="shared" si="12"/>
        <v>0</v>
      </c>
      <c r="O42" s="189">
        <v>0</v>
      </c>
      <c r="P42" s="29">
        <v>0</v>
      </c>
      <c r="Q42" s="29">
        <v>0</v>
      </c>
      <c r="R42" s="192">
        <f t="shared" si="13"/>
        <v>0</v>
      </c>
      <c r="S42" s="189">
        <v>0</v>
      </c>
      <c r="T42" s="29">
        <v>0</v>
      </c>
      <c r="U42" s="29">
        <v>0</v>
      </c>
      <c r="V42" s="192">
        <f t="shared" si="14"/>
        <v>0</v>
      </c>
      <c r="W42" s="189">
        <v>0</v>
      </c>
      <c r="X42" s="192">
        <f t="shared" si="15"/>
        <v>0</v>
      </c>
      <c r="Y42" s="189">
        <v>0</v>
      </c>
      <c r="Z42" s="29">
        <v>0</v>
      </c>
      <c r="AA42" s="192">
        <f t="shared" si="16"/>
        <v>0</v>
      </c>
      <c r="AB42" s="189">
        <v>0</v>
      </c>
      <c r="AC42" s="29">
        <v>0</v>
      </c>
      <c r="AD42" s="192">
        <f t="shared" si="17"/>
        <v>0</v>
      </c>
    </row>
    <row r="43" spans="1:30" x14ac:dyDescent="0.25">
      <c r="A43" s="199" t="s">
        <v>17</v>
      </c>
      <c r="B43" s="203" t="s">
        <v>183</v>
      </c>
      <c r="C43" s="188">
        <v>1080936</v>
      </c>
      <c r="D43" s="29"/>
      <c r="E43" s="329"/>
      <c r="F43" s="304">
        <f t="shared" si="10"/>
        <v>1080936</v>
      </c>
      <c r="G43" s="189">
        <v>0</v>
      </c>
      <c r="H43" s="192">
        <f t="shared" si="9"/>
        <v>0</v>
      </c>
      <c r="I43" s="306">
        <v>0</v>
      </c>
      <c r="J43" s="29">
        <v>0</v>
      </c>
      <c r="K43" s="192">
        <f t="shared" si="11"/>
        <v>0</v>
      </c>
      <c r="L43" s="189">
        <v>0</v>
      </c>
      <c r="M43" s="29">
        <v>0</v>
      </c>
      <c r="N43" s="192">
        <f t="shared" si="12"/>
        <v>0</v>
      </c>
      <c r="O43" s="189">
        <v>0</v>
      </c>
      <c r="P43" s="29">
        <v>0</v>
      </c>
      <c r="Q43" s="29">
        <v>0</v>
      </c>
      <c r="R43" s="192">
        <f t="shared" si="13"/>
        <v>0</v>
      </c>
      <c r="S43" s="189">
        <v>0</v>
      </c>
      <c r="T43" s="29">
        <v>0</v>
      </c>
      <c r="U43" s="29">
        <v>0</v>
      </c>
      <c r="V43" s="192">
        <f t="shared" si="14"/>
        <v>0</v>
      </c>
      <c r="W43" s="189">
        <v>0</v>
      </c>
      <c r="X43" s="192">
        <f t="shared" si="15"/>
        <v>0</v>
      </c>
      <c r="Y43" s="189">
        <v>0</v>
      </c>
      <c r="Z43" s="29">
        <v>0</v>
      </c>
      <c r="AA43" s="192">
        <f t="shared" si="16"/>
        <v>0</v>
      </c>
      <c r="AB43" s="189">
        <v>0</v>
      </c>
      <c r="AC43" s="29">
        <v>0</v>
      </c>
      <c r="AD43" s="192">
        <f t="shared" si="17"/>
        <v>0</v>
      </c>
    </row>
    <row r="44" spans="1:30" x14ac:dyDescent="0.25">
      <c r="A44" s="199"/>
      <c r="B44" s="203" t="s">
        <v>239</v>
      </c>
      <c r="C44" s="188">
        <v>1080936</v>
      </c>
      <c r="D44" s="29"/>
      <c r="E44" s="329"/>
      <c r="F44" s="304">
        <f t="shared" si="10"/>
        <v>1080936</v>
      </c>
      <c r="G44" s="189">
        <v>0</v>
      </c>
      <c r="H44" s="192">
        <f t="shared" si="9"/>
        <v>0</v>
      </c>
      <c r="I44" s="306">
        <v>0</v>
      </c>
      <c r="J44" s="29">
        <v>0</v>
      </c>
      <c r="K44" s="192">
        <f t="shared" si="11"/>
        <v>0</v>
      </c>
      <c r="L44" s="189">
        <v>0</v>
      </c>
      <c r="M44" s="29">
        <v>0</v>
      </c>
      <c r="N44" s="192">
        <f t="shared" si="12"/>
        <v>0</v>
      </c>
      <c r="O44" s="189">
        <v>0</v>
      </c>
      <c r="P44" s="29">
        <v>0</v>
      </c>
      <c r="Q44" s="29">
        <v>0</v>
      </c>
      <c r="R44" s="192">
        <f t="shared" si="13"/>
        <v>0</v>
      </c>
      <c r="S44" s="189">
        <v>0</v>
      </c>
      <c r="T44" s="29">
        <v>0</v>
      </c>
      <c r="U44" s="29">
        <v>0</v>
      </c>
      <c r="V44" s="192">
        <f t="shared" si="14"/>
        <v>0</v>
      </c>
      <c r="W44" s="189">
        <v>0</v>
      </c>
      <c r="X44" s="192">
        <f t="shared" si="15"/>
        <v>0</v>
      </c>
      <c r="Y44" s="189">
        <v>0</v>
      </c>
      <c r="Z44" s="29">
        <v>0</v>
      </c>
      <c r="AA44" s="192">
        <f t="shared" si="16"/>
        <v>0</v>
      </c>
      <c r="AB44" s="189">
        <v>0</v>
      </c>
      <c r="AC44" s="29">
        <v>0</v>
      </c>
      <c r="AD44" s="192">
        <f t="shared" si="17"/>
        <v>0</v>
      </c>
    </row>
    <row r="45" spans="1:30" x14ac:dyDescent="0.25">
      <c r="A45" s="206"/>
      <c r="B45" s="203" t="s">
        <v>119</v>
      </c>
      <c r="C45" s="188">
        <v>0</v>
      </c>
      <c r="D45" s="29"/>
      <c r="E45" s="329"/>
      <c r="F45" s="304">
        <f t="shared" si="10"/>
        <v>0</v>
      </c>
      <c r="G45" s="189">
        <v>0</v>
      </c>
      <c r="H45" s="192">
        <f t="shared" si="9"/>
        <v>0</v>
      </c>
      <c r="I45" s="306">
        <v>0</v>
      </c>
      <c r="J45" s="29">
        <v>0</v>
      </c>
      <c r="K45" s="192">
        <f t="shared" si="11"/>
        <v>0</v>
      </c>
      <c r="L45" s="189">
        <v>0</v>
      </c>
      <c r="M45" s="29">
        <v>0</v>
      </c>
      <c r="N45" s="192">
        <f t="shared" si="12"/>
        <v>0</v>
      </c>
      <c r="O45" s="189">
        <v>0</v>
      </c>
      <c r="P45" s="29">
        <v>0</v>
      </c>
      <c r="Q45" s="29">
        <v>0</v>
      </c>
      <c r="R45" s="192">
        <f t="shared" si="13"/>
        <v>0</v>
      </c>
      <c r="S45" s="189">
        <v>0</v>
      </c>
      <c r="T45" s="29">
        <v>0</v>
      </c>
      <c r="U45" s="29">
        <v>0</v>
      </c>
      <c r="V45" s="192">
        <f t="shared" si="14"/>
        <v>0</v>
      </c>
      <c r="W45" s="189">
        <v>0</v>
      </c>
      <c r="X45" s="192">
        <f t="shared" si="15"/>
        <v>0</v>
      </c>
      <c r="Y45" s="189">
        <v>0</v>
      </c>
      <c r="Z45" s="29">
        <v>0</v>
      </c>
      <c r="AA45" s="192">
        <f t="shared" si="16"/>
        <v>0</v>
      </c>
      <c r="AB45" s="189">
        <v>0</v>
      </c>
      <c r="AC45" s="29">
        <v>0</v>
      </c>
      <c r="AD45" s="192">
        <f t="shared" si="17"/>
        <v>0</v>
      </c>
    </row>
    <row r="46" spans="1:30" x14ac:dyDescent="0.25">
      <c r="A46" s="199" t="s">
        <v>18</v>
      </c>
      <c r="B46" s="205" t="s">
        <v>120</v>
      </c>
      <c r="C46" s="189">
        <f>C41+C42+C43+C45</f>
        <v>1174605</v>
      </c>
      <c r="D46" s="29"/>
      <c r="E46" s="329"/>
      <c r="F46" s="304">
        <f t="shared" si="10"/>
        <v>1174605</v>
      </c>
      <c r="G46" s="189">
        <f>G41+G42+G43+G45</f>
        <v>0</v>
      </c>
      <c r="H46" s="192">
        <f t="shared" si="9"/>
        <v>0</v>
      </c>
      <c r="I46" s="306">
        <f>I41+I42+I43+I45</f>
        <v>0</v>
      </c>
      <c r="J46" s="29">
        <f>J41+J42+J43+J45</f>
        <v>0</v>
      </c>
      <c r="K46" s="192">
        <f t="shared" si="11"/>
        <v>0</v>
      </c>
      <c r="L46" s="189">
        <f>L41+L42+L43+L45</f>
        <v>0</v>
      </c>
      <c r="M46" s="29">
        <f>M41+M42+M43+M45</f>
        <v>0</v>
      </c>
      <c r="N46" s="192">
        <f t="shared" si="12"/>
        <v>0</v>
      </c>
      <c r="O46" s="189">
        <f>O41+O42+O43+O45</f>
        <v>0</v>
      </c>
      <c r="P46" s="29">
        <f>P41+P42+P43+P45</f>
        <v>0</v>
      </c>
      <c r="Q46" s="29">
        <f>Q41+Q42+Q43+Q45</f>
        <v>0</v>
      </c>
      <c r="R46" s="192">
        <f t="shared" si="13"/>
        <v>0</v>
      </c>
      <c r="S46" s="189">
        <f>S41+S42+S43+S45</f>
        <v>0</v>
      </c>
      <c r="T46" s="29">
        <f>T41+T42+T43+T45</f>
        <v>0</v>
      </c>
      <c r="U46" s="29">
        <f>U41+U42+U43+U45</f>
        <v>0</v>
      </c>
      <c r="V46" s="192">
        <f t="shared" si="14"/>
        <v>0</v>
      </c>
      <c r="W46" s="189">
        <f>W41+W42+W43+W45</f>
        <v>0</v>
      </c>
      <c r="X46" s="192">
        <f t="shared" si="15"/>
        <v>0</v>
      </c>
      <c r="Y46" s="189">
        <f>Y41+Y42+Y43+Y45</f>
        <v>0</v>
      </c>
      <c r="Z46" s="29">
        <f>Z41+Z42+Z43+Z45</f>
        <v>0</v>
      </c>
      <c r="AA46" s="192">
        <f t="shared" si="16"/>
        <v>0</v>
      </c>
      <c r="AB46" s="189">
        <f>AB41+AB42+AB43+AB45</f>
        <v>0</v>
      </c>
      <c r="AC46" s="29">
        <f>AC41+AC42+AC43+AC45</f>
        <v>0</v>
      </c>
      <c r="AD46" s="192">
        <f t="shared" si="17"/>
        <v>0</v>
      </c>
    </row>
    <row r="47" spans="1:30" ht="24" thickBot="1" x14ac:dyDescent="0.3">
      <c r="A47" s="201" t="s">
        <v>19</v>
      </c>
      <c r="B47" s="207" t="s">
        <v>121</v>
      </c>
      <c r="C47" s="190">
        <f>C40+C46</f>
        <v>3857793</v>
      </c>
      <c r="D47" s="191">
        <f>D40+D46</f>
        <v>115570</v>
      </c>
      <c r="E47" s="191">
        <f>E40+E46</f>
        <v>14144</v>
      </c>
      <c r="F47" s="304">
        <f t="shared" si="10"/>
        <v>3987507</v>
      </c>
      <c r="G47" s="190">
        <f>G40+G46</f>
        <v>392970</v>
      </c>
      <c r="H47" s="194">
        <f t="shared" si="9"/>
        <v>392970</v>
      </c>
      <c r="I47" s="308">
        <f>I40+I46</f>
        <v>57823</v>
      </c>
      <c r="J47" s="191">
        <f>J40+J46</f>
        <v>7214</v>
      </c>
      <c r="K47" s="194">
        <f t="shared" si="11"/>
        <v>65037</v>
      </c>
      <c r="L47" s="190">
        <f>L40+L46</f>
        <v>98351</v>
      </c>
      <c r="M47" s="191">
        <f>M40+M46</f>
        <v>10160</v>
      </c>
      <c r="N47" s="194">
        <f t="shared" si="12"/>
        <v>108511</v>
      </c>
      <c r="O47" s="190">
        <f>O40+O46</f>
        <v>197326</v>
      </c>
      <c r="P47" s="191">
        <f>P40+P46</f>
        <v>11161</v>
      </c>
      <c r="Q47" s="191">
        <f>Q40+Q46</f>
        <v>48260</v>
      </c>
      <c r="R47" s="194">
        <f t="shared" si="13"/>
        <v>256747</v>
      </c>
      <c r="S47" s="190">
        <f>S40+S46</f>
        <v>141197</v>
      </c>
      <c r="T47" s="191">
        <f>T40+T46</f>
        <v>9626</v>
      </c>
      <c r="U47" s="191">
        <f>U40+U46</f>
        <v>29210</v>
      </c>
      <c r="V47" s="194">
        <f t="shared" si="14"/>
        <v>180033</v>
      </c>
      <c r="W47" s="190">
        <f>W40+W46</f>
        <v>49129</v>
      </c>
      <c r="X47" s="194">
        <f t="shared" si="15"/>
        <v>49129</v>
      </c>
      <c r="Y47" s="190">
        <f>Y40+Y46</f>
        <v>23178</v>
      </c>
      <c r="Z47" s="191">
        <f>Z40+Z46</f>
        <v>1575</v>
      </c>
      <c r="AA47" s="194">
        <f t="shared" si="16"/>
        <v>24753</v>
      </c>
      <c r="AB47" s="190">
        <f>AB40+AB46</f>
        <v>33740</v>
      </c>
      <c r="AC47" s="191">
        <f>AC40+AC46</f>
        <v>28530</v>
      </c>
      <c r="AD47" s="194">
        <f t="shared" si="17"/>
        <v>62270</v>
      </c>
    </row>
    <row r="48" spans="1:30" x14ac:dyDescent="0.25">
      <c r="F48" s="14">
        <f>+F24-F47</f>
        <v>0</v>
      </c>
      <c r="H48" s="14">
        <f t="shared" ref="H48:N48" si="18">+H24-H47</f>
        <v>0</v>
      </c>
      <c r="I48" s="14">
        <f t="shared" si="18"/>
        <v>0</v>
      </c>
      <c r="J48" s="14">
        <f t="shared" si="18"/>
        <v>0</v>
      </c>
      <c r="K48" s="14">
        <f t="shared" si="18"/>
        <v>0</v>
      </c>
      <c r="L48" s="14">
        <f t="shared" si="18"/>
        <v>0</v>
      </c>
      <c r="M48" s="14">
        <f t="shared" si="18"/>
        <v>0</v>
      </c>
      <c r="N48" s="14">
        <f t="shared" si="18"/>
        <v>0</v>
      </c>
      <c r="O48" s="14">
        <f>+O47-O24</f>
        <v>0</v>
      </c>
      <c r="P48" s="14">
        <f>+P47-P24</f>
        <v>0</v>
      </c>
      <c r="Q48" s="14">
        <f>+Q47-Q24</f>
        <v>0</v>
      </c>
      <c r="R48" s="14">
        <f>+R24-R47</f>
        <v>0</v>
      </c>
      <c r="S48" s="14">
        <f>+S47-S24</f>
        <v>0</v>
      </c>
      <c r="T48" s="14">
        <f>+T47-T24</f>
        <v>0</v>
      </c>
      <c r="U48" s="14">
        <f>+U47-U24</f>
        <v>0</v>
      </c>
      <c r="V48" s="14">
        <f>+V24-V47</f>
        <v>0</v>
      </c>
      <c r="X48" s="14">
        <f t="shared" ref="X48:AD48" si="19">+X24-X47</f>
        <v>0</v>
      </c>
      <c r="Y48" s="14">
        <f t="shared" si="19"/>
        <v>0</v>
      </c>
      <c r="Z48" s="14">
        <f t="shared" si="19"/>
        <v>0</v>
      </c>
      <c r="AA48" s="14">
        <f t="shared" si="19"/>
        <v>0</v>
      </c>
      <c r="AB48" s="14">
        <f t="shared" si="19"/>
        <v>0</v>
      </c>
      <c r="AC48" s="14">
        <f t="shared" si="19"/>
        <v>0</v>
      </c>
      <c r="AD48" s="14">
        <f t="shared" si="19"/>
        <v>0</v>
      </c>
    </row>
    <row r="49" spans="7:8" x14ac:dyDescent="0.25">
      <c r="G49" s="54"/>
    </row>
    <row r="50" spans="7:8" x14ac:dyDescent="0.25">
      <c r="G50" s="21"/>
    </row>
    <row r="51" spans="7:8" x14ac:dyDescent="0.25">
      <c r="G51" s="46"/>
      <c r="H51" s="46"/>
    </row>
    <row r="52" spans="7:8" x14ac:dyDescent="0.25">
      <c r="G52" s="46"/>
      <c r="H52" s="46"/>
    </row>
    <row r="53" spans="7:8" x14ac:dyDescent="0.25">
      <c r="G53" s="46"/>
      <c r="H53" s="46"/>
    </row>
    <row r="54" spans="7:8" x14ac:dyDescent="0.25">
      <c r="G54" s="49"/>
      <c r="H54" s="176"/>
    </row>
    <row r="55" spans="7:8" x14ac:dyDescent="0.25">
      <c r="G55" s="50"/>
      <c r="H55" s="50"/>
    </row>
    <row r="56" spans="7:8" x14ac:dyDescent="0.25">
      <c r="G56" s="50"/>
      <c r="H56" s="50"/>
    </row>
    <row r="57" spans="7:8" x14ac:dyDescent="0.25">
      <c r="G57" s="50"/>
      <c r="H57" s="50"/>
    </row>
    <row r="58" spans="7:8" x14ac:dyDescent="0.25">
      <c r="G58" s="50"/>
      <c r="H58" s="50"/>
    </row>
    <row r="59" spans="7:8" x14ac:dyDescent="0.25">
      <c r="G59" s="50"/>
      <c r="H59" s="50"/>
    </row>
    <row r="60" spans="7:8" x14ac:dyDescent="0.25">
      <c r="G60" s="50"/>
      <c r="H60" s="50"/>
    </row>
    <row r="61" spans="7:8" x14ac:dyDescent="0.25">
      <c r="G61" s="50"/>
      <c r="H61" s="50"/>
    </row>
    <row r="62" spans="7:8" x14ac:dyDescent="0.25">
      <c r="G62" s="50"/>
      <c r="H62" s="50"/>
    </row>
    <row r="63" spans="7:8" x14ac:dyDescent="0.25">
      <c r="G63" s="50"/>
      <c r="H63" s="50"/>
    </row>
    <row r="64" spans="7:8" x14ac:dyDescent="0.25">
      <c r="G64" s="50"/>
      <c r="H64" s="50"/>
    </row>
    <row r="65" spans="7:8" x14ac:dyDescent="0.25">
      <c r="G65" s="50"/>
      <c r="H65" s="50"/>
    </row>
    <row r="66" spans="7:8" x14ac:dyDescent="0.25">
      <c r="G66" s="54"/>
      <c r="H66" s="54"/>
    </row>
    <row r="67" spans="7:8" x14ac:dyDescent="0.25">
      <c r="G67" s="54"/>
      <c r="H67" s="54"/>
    </row>
    <row r="68" spans="7:8" x14ac:dyDescent="0.25">
      <c r="G68" s="53"/>
      <c r="H68" s="53"/>
    </row>
    <row r="69" spans="7:8" x14ac:dyDescent="0.25">
      <c r="G69" s="174"/>
      <c r="H69" s="175"/>
    </row>
    <row r="70" spans="7:8" x14ac:dyDescent="0.25">
      <c r="G70" s="174"/>
      <c r="H70" s="38"/>
    </row>
    <row r="71" spans="7:8" x14ac:dyDescent="0.25">
      <c r="G71" s="176"/>
      <c r="H71" s="176"/>
    </row>
    <row r="72" spans="7:8" x14ac:dyDescent="0.25">
      <c r="G72" s="42"/>
      <c r="H72" s="177"/>
    </row>
    <row r="73" spans="7:8" x14ac:dyDescent="0.25">
      <c r="G73" s="44"/>
      <c r="H73" s="44"/>
    </row>
    <row r="74" spans="7:8" x14ac:dyDescent="0.25">
      <c r="G74" s="46"/>
      <c r="H74" s="46"/>
    </row>
    <row r="75" spans="7:8" x14ac:dyDescent="0.25">
      <c r="G75" s="46"/>
      <c r="H75" s="46"/>
    </row>
    <row r="76" spans="7:8" x14ac:dyDescent="0.25">
      <c r="G76" s="46"/>
      <c r="H76" s="46"/>
    </row>
    <row r="77" spans="7:8" x14ac:dyDescent="0.25">
      <c r="G77" s="46"/>
      <c r="H77" s="46"/>
    </row>
    <row r="78" spans="7:8" x14ac:dyDescent="0.25">
      <c r="G78" s="46"/>
      <c r="H78" s="46"/>
    </row>
    <row r="79" spans="7:8" x14ac:dyDescent="0.25">
      <c r="G79" s="46"/>
      <c r="H79" s="46"/>
    </row>
    <row r="80" spans="7:8" x14ac:dyDescent="0.25">
      <c r="G80" s="46"/>
      <c r="H80" s="46"/>
    </row>
    <row r="81" spans="7:8" x14ac:dyDescent="0.25">
      <c r="G81" s="46"/>
      <c r="H81" s="46"/>
    </row>
    <row r="82" spans="7:8" x14ac:dyDescent="0.25">
      <c r="G82" s="49"/>
      <c r="H82" s="176"/>
    </row>
    <row r="83" spans="7:8" x14ac:dyDescent="0.25">
      <c r="G83" s="50"/>
      <c r="H83" s="50"/>
    </row>
    <row r="84" spans="7:8" x14ac:dyDescent="0.25">
      <c r="G84" s="50"/>
      <c r="H84" s="50"/>
    </row>
    <row r="85" spans="7:8" x14ac:dyDescent="0.25">
      <c r="G85" s="50"/>
      <c r="H85" s="50"/>
    </row>
    <row r="86" spans="7:8" x14ac:dyDescent="0.25">
      <c r="G86" s="50"/>
      <c r="H86" s="50"/>
    </row>
    <row r="87" spans="7:8" x14ac:dyDescent="0.25">
      <c r="G87" s="50"/>
      <c r="H87" s="50"/>
    </row>
    <row r="88" spans="7:8" x14ac:dyDescent="0.25">
      <c r="G88" s="50"/>
      <c r="H88" s="50"/>
    </row>
    <row r="89" spans="7:8" x14ac:dyDescent="0.25">
      <c r="G89" s="50"/>
      <c r="H89" s="50"/>
    </row>
    <row r="90" spans="7:8" x14ac:dyDescent="0.25">
      <c r="G90" s="50"/>
      <c r="H90" s="50"/>
    </row>
    <row r="91" spans="7:8" x14ac:dyDescent="0.25">
      <c r="G91" s="50"/>
      <c r="H91" s="50"/>
    </row>
    <row r="92" spans="7:8" x14ac:dyDescent="0.25">
      <c r="G92" s="50"/>
      <c r="H92" s="50"/>
    </row>
    <row r="93" spans="7:8" x14ac:dyDescent="0.25">
      <c r="G93" s="50"/>
      <c r="H93" s="50"/>
    </row>
    <row r="94" spans="7:8" x14ac:dyDescent="0.25">
      <c r="G94" s="174"/>
      <c r="H94" s="175"/>
    </row>
    <row r="95" spans="7:8" x14ac:dyDescent="0.25">
      <c r="G95" s="174"/>
      <c r="H95" s="38"/>
    </row>
    <row r="96" spans="7:8" x14ac:dyDescent="0.25">
      <c r="G96" s="176"/>
      <c r="H96" s="176"/>
    </row>
    <row r="97" spans="7:8" x14ac:dyDescent="0.25">
      <c r="G97" s="42"/>
      <c r="H97" s="177"/>
    </row>
    <row r="98" spans="7:8" x14ac:dyDescent="0.25">
      <c r="G98" s="44"/>
      <c r="H98" s="44"/>
    </row>
    <row r="99" spans="7:8" x14ac:dyDescent="0.25">
      <c r="G99" s="46"/>
      <c r="H99" s="46"/>
    </row>
    <row r="100" spans="7:8" x14ac:dyDescent="0.25">
      <c r="G100" s="46"/>
      <c r="H100" s="46"/>
    </row>
    <row r="101" spans="7:8" x14ac:dyDescent="0.25">
      <c r="G101" s="46"/>
      <c r="H101" s="46"/>
    </row>
    <row r="102" spans="7:8" x14ac:dyDescent="0.25">
      <c r="G102" s="46"/>
      <c r="H102" s="46"/>
    </row>
    <row r="103" spans="7:8" x14ac:dyDescent="0.25">
      <c r="G103" s="46"/>
      <c r="H103" s="46"/>
    </row>
    <row r="104" spans="7:8" x14ac:dyDescent="0.25">
      <c r="G104" s="46"/>
      <c r="H104" s="46"/>
    </row>
    <row r="105" spans="7:8" x14ac:dyDescent="0.25">
      <c r="G105" s="46"/>
      <c r="H105" s="46"/>
    </row>
    <row r="106" spans="7:8" x14ac:dyDescent="0.25">
      <c r="G106" s="46"/>
      <c r="H106" s="46"/>
    </row>
    <row r="107" spans="7:8" x14ac:dyDescent="0.25">
      <c r="G107" s="49"/>
      <c r="H107" s="176"/>
    </row>
    <row r="108" spans="7:8" x14ac:dyDescent="0.25">
      <c r="G108" s="50"/>
      <c r="H108" s="50"/>
    </row>
    <row r="109" spans="7:8" x14ac:dyDescent="0.25">
      <c r="G109" s="50"/>
      <c r="H109" s="50"/>
    </row>
    <row r="110" spans="7:8" x14ac:dyDescent="0.25">
      <c r="G110" s="50"/>
      <c r="H110" s="50"/>
    </row>
    <row r="111" spans="7:8" x14ac:dyDescent="0.25">
      <c r="G111" s="50"/>
      <c r="H111" s="50"/>
    </row>
    <row r="112" spans="7:8" x14ac:dyDescent="0.25">
      <c r="G112" s="50"/>
      <c r="H112" s="50"/>
    </row>
    <row r="113" spans="7:8" x14ac:dyDescent="0.25">
      <c r="G113" s="50"/>
      <c r="H113" s="50"/>
    </row>
    <row r="114" spans="7:8" x14ac:dyDescent="0.25">
      <c r="G114" s="50"/>
      <c r="H114" s="50"/>
    </row>
    <row r="115" spans="7:8" x14ac:dyDescent="0.25">
      <c r="G115" s="50"/>
      <c r="H115" s="50"/>
    </row>
    <row r="116" spans="7:8" x14ac:dyDescent="0.25">
      <c r="G116" s="50"/>
      <c r="H116" s="50"/>
    </row>
    <row r="117" spans="7:8" x14ac:dyDescent="0.25">
      <c r="G117" s="50"/>
      <c r="H117" s="50"/>
    </row>
    <row r="118" spans="7:8" x14ac:dyDescent="0.25">
      <c r="G118" s="50"/>
      <c r="H118" s="50"/>
    </row>
    <row r="119" spans="7:8" x14ac:dyDescent="0.25">
      <c r="G119" s="53"/>
      <c r="H119" s="53"/>
    </row>
    <row r="120" spans="7:8" x14ac:dyDescent="0.25">
      <c r="G120" s="53"/>
      <c r="H120" s="53"/>
    </row>
    <row r="121" spans="7:8" x14ac:dyDescent="0.25">
      <c r="G121" s="53"/>
      <c r="H121" s="53"/>
    </row>
    <row r="122" spans="7:8" x14ac:dyDescent="0.25">
      <c r="G122" s="174"/>
      <c r="H122" s="175"/>
    </row>
    <row r="123" spans="7:8" x14ac:dyDescent="0.25">
      <c r="G123" s="174"/>
      <c r="H123" s="38"/>
    </row>
    <row r="124" spans="7:8" x14ac:dyDescent="0.25">
      <c r="G124" s="176"/>
      <c r="H124" s="176"/>
    </row>
    <row r="125" spans="7:8" x14ac:dyDescent="0.25">
      <c r="G125" s="42"/>
      <c r="H125" s="177"/>
    </row>
    <row r="126" spans="7:8" x14ac:dyDescent="0.25">
      <c r="G126" s="44"/>
      <c r="H126" s="44"/>
    </row>
    <row r="127" spans="7:8" x14ac:dyDescent="0.25">
      <c r="G127" s="46"/>
      <c r="H127" s="46"/>
    </row>
    <row r="128" spans="7:8" x14ac:dyDescent="0.25">
      <c r="G128" s="46"/>
      <c r="H128" s="46"/>
    </row>
    <row r="129" spans="7:8" x14ac:dyDescent="0.25">
      <c r="G129" s="46"/>
      <c r="H129" s="46"/>
    </row>
    <row r="130" spans="7:8" x14ac:dyDescent="0.25">
      <c r="G130" s="46"/>
      <c r="H130" s="46"/>
    </row>
    <row r="131" spans="7:8" x14ac:dyDescent="0.25">
      <c r="G131" s="46"/>
      <c r="H131" s="46"/>
    </row>
    <row r="132" spans="7:8" x14ac:dyDescent="0.25">
      <c r="G132" s="46"/>
      <c r="H132" s="46"/>
    </row>
    <row r="133" spans="7:8" x14ac:dyDescent="0.25">
      <c r="G133" s="46"/>
      <c r="H133" s="46"/>
    </row>
    <row r="134" spans="7:8" x14ac:dyDescent="0.25">
      <c r="G134" s="46"/>
      <c r="H134" s="46"/>
    </row>
    <row r="135" spans="7:8" x14ac:dyDescent="0.25">
      <c r="G135" s="49"/>
      <c r="H135" s="176"/>
    </row>
    <row r="136" spans="7:8" x14ac:dyDescent="0.25">
      <c r="G136" s="50"/>
      <c r="H136" s="50"/>
    </row>
    <row r="137" spans="7:8" x14ac:dyDescent="0.25">
      <c r="G137" s="50"/>
      <c r="H137" s="50"/>
    </row>
    <row r="138" spans="7:8" x14ac:dyDescent="0.25">
      <c r="G138" s="50"/>
      <c r="H138" s="50"/>
    </row>
    <row r="139" spans="7:8" x14ac:dyDescent="0.25">
      <c r="G139" s="50"/>
      <c r="H139" s="50"/>
    </row>
    <row r="140" spans="7:8" x14ac:dyDescent="0.25">
      <c r="G140" s="50"/>
      <c r="H140" s="50"/>
    </row>
    <row r="141" spans="7:8" x14ac:dyDescent="0.25">
      <c r="G141" s="50"/>
      <c r="H141" s="50"/>
    </row>
    <row r="142" spans="7:8" x14ac:dyDescent="0.25">
      <c r="G142" s="50"/>
      <c r="H142" s="50"/>
    </row>
    <row r="143" spans="7:8" x14ac:dyDescent="0.25">
      <c r="G143" s="50"/>
      <c r="H143" s="50"/>
    </row>
    <row r="144" spans="7:8" x14ac:dyDescent="0.25">
      <c r="G144" s="50"/>
      <c r="H144" s="50"/>
    </row>
    <row r="145" spans="7:8" x14ac:dyDescent="0.25">
      <c r="G145" s="50"/>
      <c r="H145" s="50"/>
    </row>
    <row r="146" spans="7:8" x14ac:dyDescent="0.25">
      <c r="G146" s="50"/>
      <c r="H146" s="50"/>
    </row>
    <row r="147" spans="7:8" x14ac:dyDescent="0.25">
      <c r="G147" s="174"/>
      <c r="H147" s="175"/>
    </row>
    <row r="148" spans="7:8" x14ac:dyDescent="0.25">
      <c r="G148" s="174"/>
      <c r="H148" s="38"/>
    </row>
    <row r="149" spans="7:8" x14ac:dyDescent="0.25">
      <c r="G149" s="176"/>
      <c r="H149" s="176"/>
    </row>
    <row r="150" spans="7:8" x14ac:dyDescent="0.25">
      <c r="G150" s="42"/>
      <c r="H150" s="177"/>
    </row>
    <row r="151" spans="7:8" x14ac:dyDescent="0.25">
      <c r="G151" s="44"/>
      <c r="H151" s="44"/>
    </row>
    <row r="152" spans="7:8" x14ac:dyDescent="0.25">
      <c r="G152" s="46"/>
      <c r="H152" s="46"/>
    </row>
    <row r="153" spans="7:8" x14ac:dyDescent="0.25">
      <c r="G153" s="46"/>
      <c r="H153" s="46"/>
    </row>
    <row r="154" spans="7:8" x14ac:dyDescent="0.25">
      <c r="G154" s="46"/>
      <c r="H154" s="46"/>
    </row>
    <row r="155" spans="7:8" x14ac:dyDescent="0.25">
      <c r="G155" s="46"/>
      <c r="H155" s="46"/>
    </row>
    <row r="156" spans="7:8" x14ac:dyDescent="0.25">
      <c r="G156" s="46"/>
      <c r="H156" s="46"/>
    </row>
    <row r="157" spans="7:8" x14ac:dyDescent="0.25">
      <c r="G157" s="46"/>
      <c r="H157" s="46"/>
    </row>
    <row r="158" spans="7:8" x14ac:dyDescent="0.25">
      <c r="G158" s="46"/>
      <c r="H158" s="46"/>
    </row>
    <row r="159" spans="7:8" x14ac:dyDescent="0.25">
      <c r="G159" s="46"/>
      <c r="H159" s="46"/>
    </row>
    <row r="160" spans="7:8" x14ac:dyDescent="0.25">
      <c r="G160" s="49"/>
      <c r="H160" s="176"/>
    </row>
    <row r="161" spans="7:8" x14ac:dyDescent="0.25">
      <c r="G161" s="50"/>
      <c r="H161" s="50"/>
    </row>
    <row r="162" spans="7:8" x14ac:dyDescent="0.25">
      <c r="G162" s="50"/>
      <c r="H162" s="50"/>
    </row>
    <row r="163" spans="7:8" x14ac:dyDescent="0.25">
      <c r="G163" s="50"/>
      <c r="H163" s="50"/>
    </row>
    <row r="164" spans="7:8" x14ac:dyDescent="0.25">
      <c r="G164" s="50"/>
      <c r="H164" s="50"/>
    </row>
    <row r="165" spans="7:8" x14ac:dyDescent="0.25">
      <c r="G165" s="50"/>
      <c r="H165" s="50"/>
    </row>
    <row r="166" spans="7:8" x14ac:dyDescent="0.25">
      <c r="G166" s="50"/>
      <c r="H166" s="50"/>
    </row>
    <row r="167" spans="7:8" x14ac:dyDescent="0.25">
      <c r="G167" s="50"/>
      <c r="H167" s="50"/>
    </row>
    <row r="168" spans="7:8" x14ac:dyDescent="0.25">
      <c r="G168" s="50"/>
      <c r="H168" s="50"/>
    </row>
    <row r="169" spans="7:8" x14ac:dyDescent="0.25">
      <c r="G169" s="50"/>
      <c r="H169" s="50"/>
    </row>
    <row r="170" spans="7:8" x14ac:dyDescent="0.25">
      <c r="G170" s="50"/>
      <c r="H170" s="50"/>
    </row>
    <row r="171" spans="7:8" x14ac:dyDescent="0.25">
      <c r="G171" s="50"/>
      <c r="H171" s="50"/>
    </row>
    <row r="172" spans="7:8" x14ac:dyDescent="0.25">
      <c r="G172" s="53"/>
      <c r="H172" s="53"/>
    </row>
    <row r="173" spans="7:8" x14ac:dyDescent="0.25">
      <c r="G173" s="53"/>
      <c r="H173" s="53"/>
    </row>
  </sheetData>
  <mergeCells count="20">
    <mergeCell ref="AB5:AD5"/>
    <mergeCell ref="AB27:AD27"/>
    <mergeCell ref="S5:V5"/>
    <mergeCell ref="Y5:AA5"/>
    <mergeCell ref="W27:X27"/>
    <mergeCell ref="Y27:AA27"/>
    <mergeCell ref="A1:G2"/>
    <mergeCell ref="X1:AA2"/>
    <mergeCell ref="C27:F27"/>
    <mergeCell ref="G27:H27"/>
    <mergeCell ref="I27:K27"/>
    <mergeCell ref="L27:N27"/>
    <mergeCell ref="O27:R27"/>
    <mergeCell ref="S27:V27"/>
    <mergeCell ref="I5:K5"/>
    <mergeCell ref="C5:F5"/>
    <mergeCell ref="G5:H5"/>
    <mergeCell ref="W5:X5"/>
    <mergeCell ref="L5:N5"/>
    <mergeCell ref="O5:R5"/>
  </mergeCells>
  <pageMargins left="0.7" right="0.7" top="0.75" bottom="0.75" header="0.3" footer="0.3"/>
  <pageSetup paperSize="8" scale="5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14A16-0267-4FD0-8A4D-DFDCA43CB885}">
  <sheetPr>
    <pageSetUpPr fitToPage="1"/>
  </sheetPr>
  <dimension ref="A1:O22"/>
  <sheetViews>
    <sheetView view="pageBreakPreview" zoomScale="60" zoomScaleNormal="100" workbookViewId="0">
      <selection activeCell="D48" sqref="D48"/>
    </sheetView>
  </sheetViews>
  <sheetFormatPr defaultRowHeight="15" x14ac:dyDescent="0.25"/>
  <cols>
    <col min="2" max="2" width="32.7109375" customWidth="1"/>
    <col min="3" max="3" width="17.85546875" customWidth="1"/>
    <col min="4" max="4" width="15.28515625" customWidth="1"/>
    <col min="5" max="5" width="15.140625" customWidth="1"/>
    <col min="6" max="6" width="10.28515625" bestFit="1" customWidth="1"/>
    <col min="7" max="9" width="9.42578125" bestFit="1" customWidth="1"/>
    <col min="10" max="10" width="11.85546875" customWidth="1"/>
    <col min="11" max="11" width="10" bestFit="1" customWidth="1"/>
    <col min="15" max="15" width="11.140625" customWidth="1"/>
  </cols>
  <sheetData>
    <row r="1" spans="1:15" x14ac:dyDescent="0.25">
      <c r="B1" s="181" t="s">
        <v>536</v>
      </c>
      <c r="K1" s="873" t="s">
        <v>515</v>
      </c>
      <c r="L1" s="873"/>
      <c r="M1" s="946"/>
      <c r="N1" s="946"/>
    </row>
    <row r="2" spans="1:15" x14ac:dyDescent="0.25">
      <c r="C2" s="503"/>
      <c r="D2" s="503" t="s">
        <v>461</v>
      </c>
      <c r="E2" s="503"/>
      <c r="F2" s="503"/>
      <c r="G2" s="503"/>
      <c r="K2" s="946"/>
      <c r="L2" s="946"/>
      <c r="M2" s="946"/>
      <c r="N2" s="946"/>
    </row>
    <row r="3" spans="1:15" ht="15.75" thickBot="1" x14ac:dyDescent="0.3"/>
    <row r="4" spans="1:15" x14ac:dyDescent="0.25">
      <c r="A4" s="968" t="s">
        <v>438</v>
      </c>
      <c r="B4" s="970" t="s">
        <v>439</v>
      </c>
      <c r="C4" s="970" t="s">
        <v>440</v>
      </c>
      <c r="D4" s="970" t="s">
        <v>441</v>
      </c>
      <c r="E4" s="970" t="s">
        <v>467</v>
      </c>
      <c r="F4" s="372" t="s">
        <v>442</v>
      </c>
      <c r="G4" s="373"/>
      <c r="H4" s="373"/>
      <c r="I4" s="373"/>
      <c r="J4" s="966" t="s">
        <v>443</v>
      </c>
      <c r="K4" s="373" t="s">
        <v>474</v>
      </c>
      <c r="L4" s="373"/>
      <c r="M4" s="373"/>
      <c r="N4" s="374"/>
      <c r="O4" s="966" t="s">
        <v>443</v>
      </c>
    </row>
    <row r="5" spans="1:15" ht="15.75" thickBot="1" x14ac:dyDescent="0.3">
      <c r="A5" s="969"/>
      <c r="B5" s="971"/>
      <c r="C5" s="972"/>
      <c r="D5" s="971"/>
      <c r="E5" s="971"/>
      <c r="F5" s="375">
        <v>2021</v>
      </c>
      <c r="G5" s="376">
        <v>2022</v>
      </c>
      <c r="H5" s="376">
        <v>2023</v>
      </c>
      <c r="I5" s="415">
        <v>2024</v>
      </c>
      <c r="J5" s="967"/>
      <c r="K5" s="416">
        <v>2021</v>
      </c>
      <c r="L5" s="413">
        <v>2022</v>
      </c>
      <c r="M5" s="413">
        <v>2023</v>
      </c>
      <c r="N5" s="414">
        <v>2024</v>
      </c>
      <c r="O5" s="967"/>
    </row>
    <row r="6" spans="1:15" ht="15.75" thickBot="1" x14ac:dyDescent="0.3">
      <c r="A6" s="377" t="s">
        <v>444</v>
      </c>
      <c r="B6" s="378" t="s">
        <v>445</v>
      </c>
      <c r="C6" s="379" t="s">
        <v>446</v>
      </c>
      <c r="D6" s="379" t="s">
        <v>447</v>
      </c>
      <c r="E6" s="379" t="s">
        <v>448</v>
      </c>
      <c r="F6" s="379" t="s">
        <v>449</v>
      </c>
      <c r="G6" s="379" t="s">
        <v>450</v>
      </c>
      <c r="H6" s="379" t="s">
        <v>451</v>
      </c>
      <c r="I6" s="379" t="s">
        <v>452</v>
      </c>
      <c r="J6" s="417" t="s">
        <v>453</v>
      </c>
      <c r="K6" s="448" t="s">
        <v>470</v>
      </c>
      <c r="L6" s="418" t="s">
        <v>471</v>
      </c>
      <c r="M6" s="418" t="s">
        <v>472</v>
      </c>
      <c r="N6" s="418" t="s">
        <v>473</v>
      </c>
      <c r="O6" s="417" t="s">
        <v>475</v>
      </c>
    </row>
    <row r="7" spans="1:15" ht="24" x14ac:dyDescent="0.25">
      <c r="A7" s="380" t="s">
        <v>12</v>
      </c>
      <c r="B7" s="381" t="s">
        <v>454</v>
      </c>
      <c r="C7" s="382"/>
      <c r="D7" s="383">
        <f t="shared" ref="D7:I7" si="0">SUM(D8:D9)</f>
        <v>0</v>
      </c>
      <c r="E7" s="383">
        <f t="shared" si="0"/>
        <v>0</v>
      </c>
      <c r="F7" s="383">
        <f t="shared" si="0"/>
        <v>0</v>
      </c>
      <c r="G7" s="383">
        <f t="shared" si="0"/>
        <v>0</v>
      </c>
      <c r="H7" s="383">
        <f t="shared" si="0"/>
        <v>0</v>
      </c>
      <c r="I7" s="384">
        <f t="shared" si="0"/>
        <v>0</v>
      </c>
      <c r="J7" s="423">
        <f t="shared" ref="J7:J21" si="1">SUM(F7:I7)</f>
        <v>0</v>
      </c>
      <c r="K7" s="445"/>
      <c r="L7" s="446"/>
      <c r="M7" s="446"/>
      <c r="N7" s="446"/>
      <c r="O7" s="447">
        <f t="shared" ref="O7:O21" si="2">SUM(K7:N7)</f>
        <v>0</v>
      </c>
    </row>
    <row r="8" spans="1:15" x14ac:dyDescent="0.25">
      <c r="A8" s="385" t="s">
        <v>13</v>
      </c>
      <c r="B8" s="386" t="s">
        <v>455</v>
      </c>
      <c r="C8" s="387"/>
      <c r="D8" s="388"/>
      <c r="E8" s="388"/>
      <c r="F8" s="388"/>
      <c r="G8" s="388"/>
      <c r="H8" s="388"/>
      <c r="I8" s="389"/>
      <c r="J8" s="424">
        <f t="shared" si="1"/>
        <v>0</v>
      </c>
      <c r="K8" s="421"/>
      <c r="L8" s="412"/>
      <c r="M8" s="412"/>
      <c r="N8" s="412"/>
      <c r="O8" s="399">
        <f t="shared" si="2"/>
        <v>0</v>
      </c>
    </row>
    <row r="9" spans="1:15" x14ac:dyDescent="0.25">
      <c r="A9" s="385" t="s">
        <v>14</v>
      </c>
      <c r="B9" s="386" t="s">
        <v>455</v>
      </c>
      <c r="C9" s="387"/>
      <c r="D9" s="388"/>
      <c r="E9" s="388"/>
      <c r="F9" s="388"/>
      <c r="G9" s="388"/>
      <c r="H9" s="388"/>
      <c r="I9" s="389"/>
      <c r="J9" s="424">
        <f t="shared" si="1"/>
        <v>0</v>
      </c>
      <c r="K9" s="421"/>
      <c r="L9" s="412"/>
      <c r="M9" s="412"/>
      <c r="N9" s="412"/>
      <c r="O9" s="399">
        <f t="shared" si="2"/>
        <v>0</v>
      </c>
    </row>
    <row r="10" spans="1:15" ht="24" x14ac:dyDescent="0.25">
      <c r="A10" s="385" t="s">
        <v>15</v>
      </c>
      <c r="B10" s="390" t="s">
        <v>456</v>
      </c>
      <c r="C10" s="391"/>
      <c r="D10" s="392">
        <f t="shared" ref="D10:I10" si="3">SUM(D11:D12)</f>
        <v>0</v>
      </c>
      <c r="E10" s="392">
        <f t="shared" si="3"/>
        <v>58944590</v>
      </c>
      <c r="F10" s="392">
        <f t="shared" si="3"/>
        <v>95604896</v>
      </c>
      <c r="G10" s="392">
        <f t="shared" si="3"/>
        <v>93932013</v>
      </c>
      <c r="H10" s="392">
        <f t="shared" si="3"/>
        <v>92259129</v>
      </c>
      <c r="I10" s="393">
        <f t="shared" si="3"/>
        <v>90586246</v>
      </c>
      <c r="J10" s="425">
        <f t="shared" si="1"/>
        <v>372382284</v>
      </c>
      <c r="K10" s="421"/>
      <c r="L10" s="412"/>
      <c r="M10" s="412"/>
      <c r="N10" s="412"/>
      <c r="O10" s="399">
        <f t="shared" si="2"/>
        <v>0</v>
      </c>
    </row>
    <row r="11" spans="1:15" x14ac:dyDescent="0.25">
      <c r="A11" s="385" t="s">
        <v>16</v>
      </c>
      <c r="B11" s="386" t="s">
        <v>463</v>
      </c>
      <c r="C11" s="387" t="s">
        <v>464</v>
      </c>
      <c r="D11" s="388"/>
      <c r="E11" s="388">
        <v>58944590</v>
      </c>
      <c r="F11" s="388">
        <v>95604896</v>
      </c>
      <c r="G11" s="388">
        <v>93932013</v>
      </c>
      <c r="H11" s="388">
        <v>92259129</v>
      </c>
      <c r="I11" s="389">
        <v>90586246</v>
      </c>
      <c r="J11" s="424">
        <f t="shared" si="1"/>
        <v>372382284</v>
      </c>
      <c r="K11" s="421"/>
      <c r="L11" s="412"/>
      <c r="M11" s="412"/>
      <c r="N11" s="412"/>
      <c r="O11" s="399">
        <f t="shared" si="2"/>
        <v>0</v>
      </c>
    </row>
    <row r="12" spans="1:15" x14ac:dyDescent="0.25">
      <c r="A12" s="385" t="s">
        <v>17</v>
      </c>
      <c r="B12" s="386" t="s">
        <v>455</v>
      </c>
      <c r="C12" s="387"/>
      <c r="D12" s="388"/>
      <c r="E12" s="388"/>
      <c r="F12" s="388"/>
      <c r="G12" s="388"/>
      <c r="H12" s="388"/>
      <c r="I12" s="389"/>
      <c r="J12" s="424">
        <f t="shared" si="1"/>
        <v>0</v>
      </c>
      <c r="K12" s="421"/>
      <c r="L12" s="412"/>
      <c r="M12" s="412"/>
      <c r="N12" s="412"/>
      <c r="O12" s="399">
        <f t="shared" si="2"/>
        <v>0</v>
      </c>
    </row>
    <row r="13" spans="1:15" x14ac:dyDescent="0.25">
      <c r="A13" s="385" t="s">
        <v>18</v>
      </c>
      <c r="B13" s="390" t="s">
        <v>457</v>
      </c>
      <c r="C13" s="391"/>
      <c r="D13" s="392">
        <f>SUM(D14:D17)</f>
        <v>924267363</v>
      </c>
      <c r="E13" s="392">
        <f t="shared" ref="E13:I13" si="4">SUM(E14:E14)</f>
        <v>106406000</v>
      </c>
      <c r="F13" s="392">
        <f>SUM(F14:F17)</f>
        <v>717261363</v>
      </c>
      <c r="G13" s="392">
        <f t="shared" si="4"/>
        <v>0</v>
      </c>
      <c r="H13" s="392">
        <f t="shared" si="4"/>
        <v>0</v>
      </c>
      <c r="I13" s="393">
        <f t="shared" si="4"/>
        <v>0</v>
      </c>
      <c r="J13" s="425">
        <f t="shared" si="1"/>
        <v>717261363</v>
      </c>
      <c r="K13" s="422">
        <f>SUM(K14:K17)</f>
        <v>243640300</v>
      </c>
      <c r="L13" s="392">
        <f t="shared" ref="L13:N13" si="5">SUM(L14:L14)</f>
        <v>0</v>
      </c>
      <c r="M13" s="392">
        <f t="shared" si="5"/>
        <v>0</v>
      </c>
      <c r="N13" s="392">
        <f t="shared" si="5"/>
        <v>0</v>
      </c>
      <c r="O13" s="419">
        <f t="shared" si="2"/>
        <v>243640300</v>
      </c>
    </row>
    <row r="14" spans="1:15" ht="24.75" thickBot="1" x14ac:dyDescent="0.3">
      <c r="A14" s="405" t="s">
        <v>19</v>
      </c>
      <c r="B14" s="394" t="s">
        <v>462</v>
      </c>
      <c r="C14" s="406">
        <v>2020</v>
      </c>
      <c r="D14" s="407">
        <v>633050363</v>
      </c>
      <c r="E14" s="407">
        <v>106406000</v>
      </c>
      <c r="F14" s="407">
        <v>526644363</v>
      </c>
      <c r="G14" s="407"/>
      <c r="H14" s="407"/>
      <c r="I14" s="408"/>
      <c r="J14" s="426">
        <f t="shared" si="1"/>
        <v>526644363</v>
      </c>
      <c r="K14" s="421">
        <v>120000000</v>
      </c>
      <c r="L14" s="412"/>
      <c r="M14" s="412"/>
      <c r="N14" s="412"/>
      <c r="O14" s="399">
        <f t="shared" si="2"/>
        <v>120000000</v>
      </c>
    </row>
    <row r="15" spans="1:15" s="181" customFormat="1" x14ac:dyDescent="0.25">
      <c r="A15" s="380" t="s">
        <v>20</v>
      </c>
      <c r="B15" s="411" t="s">
        <v>466</v>
      </c>
      <c r="C15" s="387">
        <v>2018</v>
      </c>
      <c r="D15" s="388">
        <v>250000000</v>
      </c>
      <c r="E15" s="388">
        <v>101600000</v>
      </c>
      <c r="F15" s="388">
        <v>149400000</v>
      </c>
      <c r="G15" s="388"/>
      <c r="H15" s="388"/>
      <c r="I15" s="389"/>
      <c r="J15" s="424">
        <f t="shared" si="1"/>
        <v>149400000</v>
      </c>
      <c r="K15" s="421">
        <v>100000000</v>
      </c>
      <c r="L15" s="412"/>
      <c r="M15" s="412"/>
      <c r="N15" s="412"/>
      <c r="O15" s="399">
        <f t="shared" si="2"/>
        <v>100000000</v>
      </c>
    </row>
    <row r="16" spans="1:15" s="181" customFormat="1" x14ac:dyDescent="0.25">
      <c r="A16" s="385" t="s">
        <v>21</v>
      </c>
      <c r="B16" s="411" t="s">
        <v>469</v>
      </c>
      <c r="C16" s="387">
        <v>2018</v>
      </c>
      <c r="D16" s="388">
        <v>26267000</v>
      </c>
      <c r="E16" s="388">
        <v>0</v>
      </c>
      <c r="F16" s="388">
        <v>26267000</v>
      </c>
      <c r="G16" s="388"/>
      <c r="H16" s="388"/>
      <c r="I16" s="389"/>
      <c r="J16" s="424">
        <f t="shared" si="1"/>
        <v>26267000</v>
      </c>
      <c r="K16" s="421">
        <f>+J16*0.9</f>
        <v>23640300</v>
      </c>
      <c r="L16" s="412"/>
      <c r="M16" s="412"/>
      <c r="N16" s="412"/>
      <c r="O16" s="399">
        <f t="shared" si="2"/>
        <v>23640300</v>
      </c>
    </row>
    <row r="17" spans="1:15" ht="60" x14ac:dyDescent="0.25">
      <c r="A17" s="385" t="s">
        <v>22</v>
      </c>
      <c r="B17" s="394" t="s">
        <v>468</v>
      </c>
      <c r="C17" s="387">
        <v>2020</v>
      </c>
      <c r="D17" s="409">
        <v>14950000</v>
      </c>
      <c r="E17" s="409">
        <v>0</v>
      </c>
      <c r="F17" s="409">
        <v>14950000</v>
      </c>
      <c r="G17" s="409"/>
      <c r="H17" s="409"/>
      <c r="I17" s="410"/>
      <c r="J17" s="427">
        <f t="shared" si="1"/>
        <v>14950000</v>
      </c>
      <c r="K17" s="421"/>
      <c r="L17" s="412"/>
      <c r="M17" s="412"/>
      <c r="N17" s="412"/>
      <c r="O17" s="399">
        <f t="shared" si="2"/>
        <v>0</v>
      </c>
    </row>
    <row r="18" spans="1:15" x14ac:dyDescent="0.25">
      <c r="A18" s="385" t="s">
        <v>23</v>
      </c>
      <c r="B18" s="390" t="s">
        <v>458</v>
      </c>
      <c r="C18" s="391"/>
      <c r="D18" s="392"/>
      <c r="E18" s="392"/>
      <c r="F18" s="392"/>
      <c r="G18" s="392"/>
      <c r="H18" s="392"/>
      <c r="I18" s="393"/>
      <c r="J18" s="424">
        <f t="shared" si="1"/>
        <v>0</v>
      </c>
      <c r="K18" s="421"/>
      <c r="L18" s="412"/>
      <c r="M18" s="412"/>
      <c r="N18" s="412"/>
      <c r="O18" s="399">
        <f t="shared" si="2"/>
        <v>0</v>
      </c>
    </row>
    <row r="19" spans="1:15" x14ac:dyDescent="0.25">
      <c r="A19" s="385" t="s">
        <v>24</v>
      </c>
      <c r="B19" s="386" t="s">
        <v>455</v>
      </c>
      <c r="C19" s="387"/>
      <c r="D19" s="388"/>
      <c r="E19" s="388"/>
      <c r="F19" s="388"/>
      <c r="G19" s="388"/>
      <c r="H19" s="388"/>
      <c r="I19" s="389"/>
      <c r="J19" s="424">
        <f t="shared" si="1"/>
        <v>0</v>
      </c>
      <c r="K19" s="421"/>
      <c r="L19" s="412"/>
      <c r="M19" s="412"/>
      <c r="N19" s="412"/>
      <c r="O19" s="399">
        <f t="shared" si="2"/>
        <v>0</v>
      </c>
    </row>
    <row r="20" spans="1:15" x14ac:dyDescent="0.25">
      <c r="A20" s="385" t="s">
        <v>25</v>
      </c>
      <c r="B20" s="395" t="s">
        <v>459</v>
      </c>
      <c r="C20" s="396"/>
      <c r="D20" s="397"/>
      <c r="E20" s="397"/>
      <c r="F20" s="397"/>
      <c r="G20" s="397"/>
      <c r="H20" s="397"/>
      <c r="I20" s="398"/>
      <c r="J20" s="424">
        <f t="shared" si="1"/>
        <v>0</v>
      </c>
      <c r="K20" s="421"/>
      <c r="L20" s="412"/>
      <c r="M20" s="412"/>
      <c r="N20" s="412"/>
      <c r="O20" s="399">
        <f t="shared" si="2"/>
        <v>0</v>
      </c>
    </row>
    <row r="21" spans="1:15" ht="15.75" thickBot="1" x14ac:dyDescent="0.3">
      <c r="A21" s="385" t="s">
        <v>26</v>
      </c>
      <c r="B21" s="394" t="s">
        <v>465</v>
      </c>
      <c r="C21" s="392">
        <v>2020</v>
      </c>
      <c r="D21" s="392">
        <v>1600000</v>
      </c>
      <c r="E21" s="392"/>
      <c r="F21" s="392">
        <v>1600000</v>
      </c>
      <c r="G21" s="392"/>
      <c r="H21" s="392"/>
      <c r="I21" s="393"/>
      <c r="J21" s="424">
        <f t="shared" si="1"/>
        <v>1600000</v>
      </c>
      <c r="K21" s="421"/>
      <c r="L21" s="412"/>
      <c r="M21" s="412"/>
      <c r="N21" s="412"/>
      <c r="O21" s="399">
        <f t="shared" si="2"/>
        <v>0</v>
      </c>
    </row>
    <row r="22" spans="1:15" ht="15.75" thickBot="1" x14ac:dyDescent="0.3">
      <c r="A22" s="400" t="s">
        <v>27</v>
      </c>
      <c r="B22" s="401" t="s">
        <v>460</v>
      </c>
      <c r="C22" s="402"/>
      <c r="D22" s="403">
        <f t="shared" ref="D22:O22" si="6">D7+D10+D13+D18+D20</f>
        <v>924267363</v>
      </c>
      <c r="E22" s="403">
        <f t="shared" si="6"/>
        <v>165350590</v>
      </c>
      <c r="F22" s="403">
        <f t="shared" si="6"/>
        <v>812866259</v>
      </c>
      <c r="G22" s="403">
        <f t="shared" si="6"/>
        <v>93932013</v>
      </c>
      <c r="H22" s="403">
        <f t="shared" si="6"/>
        <v>92259129</v>
      </c>
      <c r="I22" s="404">
        <f t="shared" si="6"/>
        <v>90586246</v>
      </c>
      <c r="J22" s="420">
        <f t="shared" si="6"/>
        <v>1089643647</v>
      </c>
      <c r="K22" s="403">
        <f t="shared" si="6"/>
        <v>243640300</v>
      </c>
      <c r="L22" s="403">
        <f t="shared" si="6"/>
        <v>0</v>
      </c>
      <c r="M22" s="403">
        <f t="shared" si="6"/>
        <v>0</v>
      </c>
      <c r="N22" s="404">
        <f t="shared" si="6"/>
        <v>0</v>
      </c>
      <c r="O22" s="420">
        <f t="shared" si="6"/>
        <v>243640300</v>
      </c>
    </row>
  </sheetData>
  <mergeCells count="8">
    <mergeCell ref="K1:N2"/>
    <mergeCell ref="O4:O5"/>
    <mergeCell ref="A4:A5"/>
    <mergeCell ref="B4:B5"/>
    <mergeCell ref="C4:C5"/>
    <mergeCell ref="D4:D5"/>
    <mergeCell ref="E4:E5"/>
    <mergeCell ref="J4:J5"/>
  </mergeCells>
  <phoneticPr fontId="34" type="noConversion"/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  <pageSetUpPr fitToPage="1"/>
  </sheetPr>
  <dimension ref="A1:R77"/>
  <sheetViews>
    <sheetView showWhiteSpace="0" view="pageBreakPreview" topLeftCell="A35" zoomScaleNormal="100" zoomScaleSheetLayoutView="100" zoomScalePageLayoutView="115" workbookViewId="0">
      <selection activeCell="F53" sqref="F53"/>
    </sheetView>
  </sheetViews>
  <sheetFormatPr defaultRowHeight="15" x14ac:dyDescent="0.25"/>
  <cols>
    <col min="1" max="1" width="5.28515625" style="570" customWidth="1"/>
    <col min="2" max="2" width="46.85546875" style="704" customWidth="1"/>
    <col min="3" max="3" width="11.7109375" style="625" customWidth="1"/>
    <col min="4" max="4" width="13.28515625" style="626" hidden="1" customWidth="1"/>
    <col min="5" max="5" width="13.140625" style="627" hidden="1" customWidth="1"/>
    <col min="6" max="6" width="12" style="573" customWidth="1"/>
    <col min="7" max="7" width="10.85546875" style="625" bestFit="1" customWidth="1"/>
    <col min="8" max="8" width="11" style="626" hidden="1" customWidth="1"/>
    <col min="9" max="9" width="11" style="627" hidden="1" customWidth="1"/>
    <col min="10" max="10" width="13.140625" style="573" customWidth="1"/>
    <col min="11" max="11" width="9" style="625" customWidth="1"/>
    <col min="12" max="12" width="9.5703125" style="626" customWidth="1"/>
    <col min="13" max="13" width="11.5703125" style="573" customWidth="1"/>
    <col min="14" max="14" width="11.5703125" style="626" hidden="1" customWidth="1"/>
    <col min="15" max="15" width="12.5703125" style="627" hidden="1" customWidth="1"/>
    <col min="16" max="16" width="13.28515625" style="573" customWidth="1"/>
    <col min="17" max="17" width="28.5703125" style="573" customWidth="1"/>
    <col min="18" max="16384" width="9.140625" style="573"/>
  </cols>
  <sheetData>
    <row r="1" spans="1:17" ht="15" customHeight="1" x14ac:dyDescent="0.25">
      <c r="B1" s="703" t="s">
        <v>516</v>
      </c>
      <c r="C1" s="875" t="s">
        <v>123</v>
      </c>
      <c r="D1" s="875"/>
      <c r="E1" s="875"/>
      <c r="F1" s="875"/>
      <c r="G1" s="875"/>
      <c r="H1" s="875"/>
      <c r="I1" s="571"/>
      <c r="J1" s="810"/>
      <c r="K1" s="572"/>
      <c r="L1" s="874" t="s">
        <v>517</v>
      </c>
      <c r="M1" s="874"/>
      <c r="N1" s="874"/>
      <c r="O1" s="874"/>
      <c r="P1" s="874"/>
    </row>
    <row r="2" spans="1:17" x14ac:dyDescent="0.25">
      <c r="C2" s="875" t="s">
        <v>332</v>
      </c>
      <c r="D2" s="875"/>
      <c r="E2" s="875"/>
      <c r="F2" s="875"/>
      <c r="G2" s="875"/>
      <c r="H2" s="875"/>
      <c r="I2" s="571"/>
      <c r="J2" s="810"/>
      <c r="K2" s="574"/>
      <c r="L2" s="874"/>
      <c r="M2" s="874"/>
      <c r="N2" s="874"/>
      <c r="O2" s="874"/>
      <c r="P2" s="874"/>
    </row>
    <row r="3" spans="1:17" x14ac:dyDescent="0.25">
      <c r="A3" s="575"/>
      <c r="B3" s="705" t="s">
        <v>43</v>
      </c>
      <c r="C3" s="576"/>
      <c r="D3" s="577"/>
      <c r="E3" s="578"/>
      <c r="F3" s="802"/>
      <c r="G3" s="579"/>
      <c r="H3" s="580"/>
      <c r="I3" s="581"/>
      <c r="J3" s="691"/>
      <c r="K3" s="579"/>
      <c r="L3" s="580"/>
      <c r="M3" s="582" t="s">
        <v>400</v>
      </c>
      <c r="N3" s="580"/>
      <c r="O3" s="581"/>
      <c r="P3" s="582"/>
    </row>
    <row r="4" spans="1:17" s="693" customFormat="1" ht="73.5" x14ac:dyDescent="0.15">
      <c r="A4" s="589" t="s">
        <v>31</v>
      </c>
      <c r="B4" s="692" t="s">
        <v>32</v>
      </c>
      <c r="C4" s="583" t="s">
        <v>418</v>
      </c>
      <c r="D4" s="584" t="s">
        <v>537</v>
      </c>
      <c r="E4" s="585" t="s">
        <v>538</v>
      </c>
      <c r="F4" s="803" t="s">
        <v>539</v>
      </c>
      <c r="G4" s="583" t="s">
        <v>419</v>
      </c>
      <c r="H4" s="587" t="s">
        <v>543</v>
      </c>
      <c r="I4" s="588" t="s">
        <v>544</v>
      </c>
      <c r="J4" s="811" t="s">
        <v>545</v>
      </c>
      <c r="K4" s="583" t="s">
        <v>420</v>
      </c>
      <c r="L4" s="587" t="s">
        <v>424</v>
      </c>
      <c r="M4" s="589" t="s">
        <v>421</v>
      </c>
      <c r="N4" s="587" t="s">
        <v>541</v>
      </c>
      <c r="O4" s="588" t="s">
        <v>542</v>
      </c>
      <c r="P4" s="811" t="s">
        <v>540</v>
      </c>
    </row>
    <row r="5" spans="1:17" s="596" customFormat="1" ht="14.25" x14ac:dyDescent="0.2">
      <c r="A5" s="590" t="s">
        <v>12</v>
      </c>
      <c r="B5" s="706" t="s">
        <v>79</v>
      </c>
      <c r="C5" s="592">
        <v>811553548</v>
      </c>
      <c r="D5" s="593">
        <v>852246572</v>
      </c>
      <c r="E5" s="564">
        <v>852246572</v>
      </c>
      <c r="F5" s="569">
        <v>968787014</v>
      </c>
      <c r="G5" s="565">
        <v>0</v>
      </c>
      <c r="H5" s="593"/>
      <c r="I5" s="595"/>
      <c r="J5" s="807"/>
      <c r="K5" s="592">
        <v>0</v>
      </c>
      <c r="L5" s="593"/>
      <c r="M5" s="594">
        <f>C5+G5+K5</f>
        <v>811553548</v>
      </c>
      <c r="N5" s="593">
        <f>+D5+H5+L5</f>
        <v>852246572</v>
      </c>
      <c r="O5" s="595">
        <f>+E5+I5+L5</f>
        <v>852246572</v>
      </c>
      <c r="P5" s="807">
        <f t="shared" ref="P5:P37" si="0">+F5+J5+L5</f>
        <v>968787014</v>
      </c>
    </row>
    <row r="6" spans="1:17" s="596" customFormat="1" ht="14.25" x14ac:dyDescent="0.2">
      <c r="A6" s="590" t="s">
        <v>13</v>
      </c>
      <c r="B6" s="706" t="s">
        <v>176</v>
      </c>
      <c r="C6" s="592">
        <f>+C7</f>
        <v>120471452</v>
      </c>
      <c r="D6" s="593">
        <f>+D7</f>
        <v>79778428</v>
      </c>
      <c r="E6" s="564">
        <f>+E7</f>
        <v>81872855</v>
      </c>
      <c r="F6" s="569">
        <f>+F7</f>
        <v>102484969</v>
      </c>
      <c r="G6" s="565">
        <v>0</v>
      </c>
      <c r="H6" s="593"/>
      <c r="I6" s="595"/>
      <c r="J6" s="807"/>
      <c r="K6" s="592">
        <v>0</v>
      </c>
      <c r="L6" s="593"/>
      <c r="M6" s="594">
        <f t="shared" ref="M6:M34" si="1">C6+G6+K6</f>
        <v>120471452</v>
      </c>
      <c r="N6" s="593">
        <f t="shared" ref="N6:N34" si="2">+D6+H6+L6</f>
        <v>79778428</v>
      </c>
      <c r="O6" s="595">
        <f t="shared" ref="O6:O34" si="3">+E6+I6+L6</f>
        <v>81872855</v>
      </c>
      <c r="P6" s="807">
        <f t="shared" si="0"/>
        <v>102484969</v>
      </c>
    </row>
    <row r="7" spans="1:17" x14ac:dyDescent="0.25">
      <c r="A7" s="597" t="s">
        <v>54</v>
      </c>
      <c r="B7" s="707" t="s">
        <v>81</v>
      </c>
      <c r="C7" s="560">
        <f>+C8+C10</f>
        <v>120471452</v>
      </c>
      <c r="D7" s="561">
        <v>79778428</v>
      </c>
      <c r="E7" s="558">
        <f>81873152-297</f>
        <v>81872855</v>
      </c>
      <c r="F7" s="568">
        <v>102484969</v>
      </c>
      <c r="G7" s="560">
        <f>G8+G9+G10</f>
        <v>0</v>
      </c>
      <c r="H7" s="561"/>
      <c r="I7" s="558"/>
      <c r="J7" s="568"/>
      <c r="K7" s="560">
        <f>K8+K9+K10</f>
        <v>0</v>
      </c>
      <c r="L7" s="561"/>
      <c r="M7" s="594">
        <f t="shared" si="1"/>
        <v>120471452</v>
      </c>
      <c r="N7" s="593">
        <f t="shared" si="2"/>
        <v>79778428</v>
      </c>
      <c r="O7" s="595">
        <f t="shared" si="3"/>
        <v>81872855</v>
      </c>
      <c r="P7" s="807">
        <f>+F7+J7+L7</f>
        <v>102484969</v>
      </c>
    </row>
    <row r="8" spans="1:17" x14ac:dyDescent="0.25">
      <c r="A8" s="597" t="s">
        <v>82</v>
      </c>
      <c r="B8" s="707" t="s">
        <v>435</v>
      </c>
      <c r="C8" s="560">
        <v>50471452</v>
      </c>
      <c r="D8" s="561">
        <v>50471452</v>
      </c>
      <c r="E8" s="558">
        <v>50471452</v>
      </c>
      <c r="F8" s="568">
        <v>0</v>
      </c>
      <c r="G8" s="560">
        <v>0</v>
      </c>
      <c r="H8" s="561"/>
      <c r="I8" s="558"/>
      <c r="J8" s="568"/>
      <c r="K8" s="560">
        <v>0</v>
      </c>
      <c r="L8" s="561"/>
      <c r="M8" s="594">
        <f>C8+G8+K8</f>
        <v>50471452</v>
      </c>
      <c r="N8" s="593">
        <f t="shared" si="2"/>
        <v>50471452</v>
      </c>
      <c r="O8" s="595">
        <f t="shared" si="3"/>
        <v>50471452</v>
      </c>
      <c r="P8" s="807">
        <f>+F8+J8+L8</f>
        <v>0</v>
      </c>
    </row>
    <row r="9" spans="1:17" x14ac:dyDescent="0.25">
      <c r="A9" s="597" t="s">
        <v>83</v>
      </c>
      <c r="B9" s="707" t="s">
        <v>590</v>
      </c>
      <c r="C9" s="560">
        <v>0</v>
      </c>
      <c r="D9" s="561">
        <v>0</v>
      </c>
      <c r="E9" s="558">
        <v>0</v>
      </c>
      <c r="F9" s="568">
        <v>20611817</v>
      </c>
      <c r="G9" s="560">
        <v>0</v>
      </c>
      <c r="H9" s="561"/>
      <c r="I9" s="558"/>
      <c r="J9" s="568"/>
      <c r="K9" s="560">
        <v>0</v>
      </c>
      <c r="L9" s="561"/>
      <c r="M9" s="594">
        <f>C9+G9+K9</f>
        <v>0</v>
      </c>
      <c r="N9" s="593">
        <f t="shared" ref="N9" si="4">+D9+H9+L9</f>
        <v>0</v>
      </c>
      <c r="O9" s="595">
        <f t="shared" ref="O9" si="5">+E9+I9+L9</f>
        <v>0</v>
      </c>
      <c r="P9" s="807">
        <f t="shared" si="0"/>
        <v>20611817</v>
      </c>
      <c r="Q9" s="582"/>
    </row>
    <row r="10" spans="1:17" ht="23.25" x14ac:dyDescent="0.25">
      <c r="A10" s="597" t="s">
        <v>84</v>
      </c>
      <c r="B10" s="707" t="s">
        <v>310</v>
      </c>
      <c r="C10" s="560">
        <v>70000000</v>
      </c>
      <c r="D10" s="561">
        <f>70000000-40693024</f>
        <v>29306976</v>
      </c>
      <c r="E10" s="558">
        <f>70000000-40693024</f>
        <v>29306976</v>
      </c>
      <c r="F10" s="568"/>
      <c r="G10" s="560">
        <v>0</v>
      </c>
      <c r="H10" s="561"/>
      <c r="I10" s="558"/>
      <c r="J10" s="568"/>
      <c r="K10" s="560">
        <v>0</v>
      </c>
      <c r="L10" s="561"/>
      <c r="M10" s="594">
        <f t="shared" si="1"/>
        <v>70000000</v>
      </c>
      <c r="N10" s="593">
        <f t="shared" si="2"/>
        <v>29306976</v>
      </c>
      <c r="O10" s="595">
        <f t="shared" si="3"/>
        <v>29306976</v>
      </c>
      <c r="P10" s="807">
        <f t="shared" si="0"/>
        <v>0</v>
      </c>
      <c r="Q10" s="582"/>
    </row>
    <row r="11" spans="1:17" s="596" customFormat="1" ht="14.25" x14ac:dyDescent="0.2">
      <c r="A11" s="590" t="s">
        <v>14</v>
      </c>
      <c r="B11" s="708" t="s">
        <v>161</v>
      </c>
      <c r="C11" s="565">
        <v>711000000</v>
      </c>
      <c r="D11" s="563">
        <v>478500000</v>
      </c>
      <c r="E11" s="564">
        <v>478500000</v>
      </c>
      <c r="F11" s="569">
        <v>678890000</v>
      </c>
      <c r="G11" s="565">
        <v>0</v>
      </c>
      <c r="H11" s="563"/>
      <c r="I11" s="564"/>
      <c r="J11" s="569"/>
      <c r="K11" s="565">
        <v>0</v>
      </c>
      <c r="L11" s="563"/>
      <c r="M11" s="594">
        <f t="shared" si="1"/>
        <v>711000000</v>
      </c>
      <c r="N11" s="593">
        <f t="shared" si="2"/>
        <v>478500000</v>
      </c>
      <c r="O11" s="595">
        <f>+E11+I11+L11</f>
        <v>478500000</v>
      </c>
      <c r="P11" s="807">
        <f t="shared" si="0"/>
        <v>678890000</v>
      </c>
      <c r="Q11" s="600"/>
    </row>
    <row r="12" spans="1:17" s="596" customFormat="1" ht="14.25" x14ac:dyDescent="0.2">
      <c r="A12" s="590" t="s">
        <v>15</v>
      </c>
      <c r="B12" s="708" t="s">
        <v>87</v>
      </c>
      <c r="C12" s="565">
        <f>1100000000-G12</f>
        <v>1000144000</v>
      </c>
      <c r="D12" s="563">
        <f>SUM(D13:D18)</f>
        <v>959144000</v>
      </c>
      <c r="E12" s="564">
        <f>SUM(E13:E18)</f>
        <v>963144000</v>
      </c>
      <c r="F12" s="569">
        <f>SUM(F13:F18)</f>
        <v>983438292</v>
      </c>
      <c r="G12" s="565">
        <v>99856000</v>
      </c>
      <c r="H12" s="563">
        <f>+G12-4000000</f>
        <v>95856000</v>
      </c>
      <c r="I12" s="564">
        <f>+H12-4000000+2847125</f>
        <v>94703125</v>
      </c>
      <c r="J12" s="569">
        <v>88561708</v>
      </c>
      <c r="K12" s="565">
        <v>0</v>
      </c>
      <c r="L12" s="563"/>
      <c r="M12" s="594">
        <f t="shared" si="1"/>
        <v>1100000000</v>
      </c>
      <c r="N12" s="593">
        <f t="shared" si="2"/>
        <v>1055000000</v>
      </c>
      <c r="O12" s="595">
        <f t="shared" si="3"/>
        <v>1057847125</v>
      </c>
      <c r="P12" s="807">
        <f>+F12+J12+L12</f>
        <v>1072000000</v>
      </c>
      <c r="Q12" s="600"/>
    </row>
    <row r="13" spans="1:17" x14ac:dyDescent="0.25">
      <c r="A13" s="597" t="s">
        <v>560</v>
      </c>
      <c r="B13" s="707" t="s">
        <v>547</v>
      </c>
      <c r="C13" s="560">
        <v>300000000</v>
      </c>
      <c r="D13" s="561">
        <f>+C13</f>
        <v>300000000</v>
      </c>
      <c r="E13" s="558">
        <f>+D13</f>
        <v>300000000</v>
      </c>
      <c r="F13" s="568">
        <v>300000000</v>
      </c>
      <c r="G13" s="560">
        <v>0</v>
      </c>
      <c r="H13" s="561"/>
      <c r="I13" s="558"/>
      <c r="J13" s="568"/>
      <c r="K13" s="560">
        <v>0</v>
      </c>
      <c r="L13" s="561"/>
      <c r="M13" s="594">
        <f t="shared" si="1"/>
        <v>300000000</v>
      </c>
      <c r="N13" s="593">
        <f t="shared" si="2"/>
        <v>300000000</v>
      </c>
      <c r="O13" s="595">
        <f t="shared" si="3"/>
        <v>300000000</v>
      </c>
      <c r="P13" s="807">
        <f t="shared" si="0"/>
        <v>300000000</v>
      </c>
      <c r="Q13" s="582"/>
    </row>
    <row r="14" spans="1:17" x14ac:dyDescent="0.25">
      <c r="A14" s="597" t="s">
        <v>561</v>
      </c>
      <c r="B14" s="707" t="s">
        <v>548</v>
      </c>
      <c r="C14" s="560">
        <v>85000000</v>
      </c>
      <c r="D14" s="561">
        <f>+C14</f>
        <v>85000000</v>
      </c>
      <c r="E14" s="558">
        <f>+D14</f>
        <v>85000000</v>
      </c>
      <c r="F14" s="568">
        <v>85000000</v>
      </c>
      <c r="G14" s="560">
        <v>0</v>
      </c>
      <c r="H14" s="561"/>
      <c r="I14" s="558"/>
      <c r="J14" s="568"/>
      <c r="K14" s="560">
        <v>0</v>
      </c>
      <c r="L14" s="561"/>
      <c r="M14" s="594">
        <f t="shared" si="1"/>
        <v>85000000</v>
      </c>
      <c r="N14" s="593">
        <f t="shared" si="2"/>
        <v>85000000</v>
      </c>
      <c r="O14" s="595">
        <f t="shared" si="3"/>
        <v>85000000</v>
      </c>
      <c r="P14" s="807">
        <f t="shared" si="0"/>
        <v>85000000</v>
      </c>
      <c r="Q14" s="582"/>
    </row>
    <row r="15" spans="1:17" s="691" customFormat="1" ht="11.25" x14ac:dyDescent="0.2">
      <c r="A15" s="597" t="s">
        <v>562</v>
      </c>
      <c r="B15" s="707" t="s">
        <v>546</v>
      </c>
      <c r="C15" s="560">
        <f>662500000-G15</f>
        <v>562644000</v>
      </c>
      <c r="D15" s="561">
        <f>662500000-H15</f>
        <v>566644000</v>
      </c>
      <c r="E15" s="558">
        <f>662500000-I15</f>
        <v>570644000</v>
      </c>
      <c r="F15" s="568">
        <f>662500000-J15</f>
        <v>573938292</v>
      </c>
      <c r="G15" s="560">
        <v>99856000</v>
      </c>
      <c r="H15" s="561">
        <f>+G15-4000000</f>
        <v>95856000</v>
      </c>
      <c r="I15" s="558">
        <f>+H15-4000000</f>
        <v>91856000</v>
      </c>
      <c r="J15" s="568">
        <v>88561708</v>
      </c>
      <c r="K15" s="560">
        <v>0</v>
      </c>
      <c r="L15" s="561"/>
      <c r="M15" s="594">
        <f t="shared" si="1"/>
        <v>662500000</v>
      </c>
      <c r="N15" s="593">
        <f t="shared" si="2"/>
        <v>662500000</v>
      </c>
      <c r="O15" s="595">
        <f t="shared" si="3"/>
        <v>662500000</v>
      </c>
      <c r="P15" s="807">
        <f t="shared" si="0"/>
        <v>662500000</v>
      </c>
      <c r="Q15" s="582"/>
    </row>
    <row r="16" spans="1:17" x14ac:dyDescent="0.25">
      <c r="A16" s="597" t="s">
        <v>563</v>
      </c>
      <c r="B16" s="707" t="s">
        <v>556</v>
      </c>
      <c r="C16" s="560">
        <v>45000000</v>
      </c>
      <c r="D16" s="561">
        <v>0</v>
      </c>
      <c r="E16" s="558">
        <v>0</v>
      </c>
      <c r="F16" s="568">
        <v>0</v>
      </c>
      <c r="G16" s="560">
        <v>0</v>
      </c>
      <c r="H16" s="561"/>
      <c r="I16" s="558"/>
      <c r="J16" s="568"/>
      <c r="K16" s="560">
        <v>0</v>
      </c>
      <c r="L16" s="561"/>
      <c r="M16" s="594">
        <f>C16+G16+K16</f>
        <v>45000000</v>
      </c>
      <c r="N16" s="593">
        <f>+D16+H16+L16</f>
        <v>0</v>
      </c>
      <c r="O16" s="595">
        <f>+E16+I16+L16</f>
        <v>0</v>
      </c>
      <c r="P16" s="807">
        <f t="shared" si="0"/>
        <v>0</v>
      </c>
      <c r="Q16" s="582"/>
    </row>
    <row r="17" spans="1:17" x14ac:dyDescent="0.25">
      <c r="A17" s="597" t="s">
        <v>564</v>
      </c>
      <c r="B17" s="707" t="s">
        <v>555</v>
      </c>
      <c r="C17" s="560">
        <v>2000000</v>
      </c>
      <c r="D17" s="561">
        <f>+C17</f>
        <v>2000000</v>
      </c>
      <c r="E17" s="558">
        <f>5000000</f>
        <v>5000000</v>
      </c>
      <c r="F17" s="568">
        <v>2000000</v>
      </c>
      <c r="G17" s="560">
        <v>0</v>
      </c>
      <c r="H17" s="561"/>
      <c r="I17" s="558"/>
      <c r="J17" s="568"/>
      <c r="K17" s="560">
        <v>0</v>
      </c>
      <c r="L17" s="561"/>
      <c r="M17" s="594">
        <f t="shared" si="1"/>
        <v>2000000</v>
      </c>
      <c r="N17" s="593">
        <f t="shared" si="2"/>
        <v>2000000</v>
      </c>
      <c r="O17" s="595">
        <f t="shared" si="3"/>
        <v>5000000</v>
      </c>
      <c r="P17" s="807">
        <v>2000000</v>
      </c>
      <c r="Q17" s="582"/>
    </row>
    <row r="18" spans="1:17" x14ac:dyDescent="0.25">
      <c r="A18" s="597" t="s">
        <v>565</v>
      </c>
      <c r="B18" s="707" t="s">
        <v>557</v>
      </c>
      <c r="C18" s="560">
        <v>5500000</v>
      </c>
      <c r="D18" s="561">
        <f>+C18</f>
        <v>5500000</v>
      </c>
      <c r="E18" s="558">
        <f>19500000-17000000</f>
        <v>2500000</v>
      </c>
      <c r="F18" s="568">
        <v>22500000</v>
      </c>
      <c r="G18" s="560">
        <v>0</v>
      </c>
      <c r="H18" s="561"/>
      <c r="I18" s="558"/>
      <c r="J18" s="568"/>
      <c r="K18" s="560">
        <v>0</v>
      </c>
      <c r="L18" s="561"/>
      <c r="M18" s="594">
        <f t="shared" si="1"/>
        <v>5500000</v>
      </c>
      <c r="N18" s="593">
        <f t="shared" si="2"/>
        <v>5500000</v>
      </c>
      <c r="O18" s="595">
        <f t="shared" si="3"/>
        <v>2500000</v>
      </c>
      <c r="P18" s="807">
        <f>+F18+J18+L18</f>
        <v>22500000</v>
      </c>
      <c r="Q18" s="582"/>
    </row>
    <row r="19" spans="1:17" s="596" customFormat="1" ht="14.25" x14ac:dyDescent="0.2">
      <c r="A19" s="590" t="s">
        <v>16</v>
      </c>
      <c r="B19" s="708" t="s">
        <v>88</v>
      </c>
      <c r="C19" s="565">
        <v>287482000</v>
      </c>
      <c r="D19" s="563">
        <f>+C19</f>
        <v>287482000</v>
      </c>
      <c r="E19" s="564">
        <v>123000000</v>
      </c>
      <c r="F19" s="569">
        <v>240529142</v>
      </c>
      <c r="G19" s="565">
        <v>0</v>
      </c>
      <c r="H19" s="563"/>
      <c r="I19" s="564"/>
      <c r="J19" s="569"/>
      <c r="K19" s="565">
        <v>0</v>
      </c>
      <c r="L19" s="563"/>
      <c r="M19" s="594">
        <f t="shared" si="1"/>
        <v>287482000</v>
      </c>
      <c r="N19" s="593">
        <f t="shared" si="2"/>
        <v>287482000</v>
      </c>
      <c r="O19" s="595">
        <f t="shared" si="3"/>
        <v>123000000</v>
      </c>
      <c r="P19" s="807">
        <f t="shared" si="0"/>
        <v>240529142</v>
      </c>
      <c r="Q19" s="600"/>
    </row>
    <row r="20" spans="1:17" s="596" customFormat="1" ht="14.25" x14ac:dyDescent="0.2">
      <c r="A20" s="590" t="s">
        <v>17</v>
      </c>
      <c r="B20" s="708" t="s">
        <v>89</v>
      </c>
      <c r="C20" s="565">
        <v>281000000</v>
      </c>
      <c r="D20" s="563">
        <v>38521437</v>
      </c>
      <c r="E20" s="564">
        <v>15000000</v>
      </c>
      <c r="F20" s="569">
        <v>38600177</v>
      </c>
      <c r="G20" s="565">
        <v>0</v>
      </c>
      <c r="H20" s="563"/>
      <c r="I20" s="564"/>
      <c r="J20" s="569"/>
      <c r="K20" s="565">
        <v>0</v>
      </c>
      <c r="L20" s="563"/>
      <c r="M20" s="594">
        <f t="shared" si="1"/>
        <v>281000000</v>
      </c>
      <c r="N20" s="593">
        <f t="shared" si="2"/>
        <v>38521437</v>
      </c>
      <c r="O20" s="595">
        <f t="shared" si="3"/>
        <v>15000000</v>
      </c>
      <c r="P20" s="807">
        <f t="shared" si="0"/>
        <v>38600177</v>
      </c>
      <c r="Q20" s="600"/>
    </row>
    <row r="21" spans="1:17" s="596" customFormat="1" ht="14.25" x14ac:dyDescent="0.2">
      <c r="A21" s="590" t="s">
        <v>18</v>
      </c>
      <c r="B21" s="708" t="s">
        <v>90</v>
      </c>
      <c r="C21" s="565">
        <v>0</v>
      </c>
      <c r="D21" s="563">
        <v>0</v>
      </c>
      <c r="E21" s="564">
        <v>0</v>
      </c>
      <c r="F21" s="569">
        <f>8271842</f>
        <v>8271842</v>
      </c>
      <c r="G21" s="565">
        <v>0</v>
      </c>
      <c r="H21" s="563">
        <v>2237500</v>
      </c>
      <c r="I21" s="564">
        <v>2237500</v>
      </c>
      <c r="J21" s="569">
        <v>0</v>
      </c>
      <c r="K21" s="565">
        <v>0</v>
      </c>
      <c r="L21" s="563"/>
      <c r="M21" s="594">
        <f t="shared" si="1"/>
        <v>0</v>
      </c>
      <c r="N21" s="593">
        <f t="shared" si="2"/>
        <v>2237500</v>
      </c>
      <c r="O21" s="595">
        <f t="shared" si="3"/>
        <v>2237500</v>
      </c>
      <c r="P21" s="807">
        <f t="shared" si="0"/>
        <v>8271842</v>
      </c>
      <c r="Q21" s="600"/>
    </row>
    <row r="22" spans="1:17" s="596" customFormat="1" ht="14.25" x14ac:dyDescent="0.2">
      <c r="A22" s="590" t="s">
        <v>19</v>
      </c>
      <c r="B22" s="708" t="s">
        <v>91</v>
      </c>
      <c r="C22" s="565">
        <v>0</v>
      </c>
      <c r="D22" s="563">
        <v>0</v>
      </c>
      <c r="E22" s="564">
        <v>0</v>
      </c>
      <c r="F22" s="569">
        <v>1152875</v>
      </c>
      <c r="G22" s="565">
        <v>0</v>
      </c>
      <c r="H22" s="563">
        <v>0</v>
      </c>
      <c r="I22" s="564">
        <v>1152875</v>
      </c>
      <c r="J22" s="569">
        <v>0</v>
      </c>
      <c r="K22" s="565">
        <v>0</v>
      </c>
      <c r="L22" s="563"/>
      <c r="M22" s="594">
        <f t="shared" si="1"/>
        <v>0</v>
      </c>
      <c r="N22" s="593">
        <f t="shared" si="2"/>
        <v>0</v>
      </c>
      <c r="O22" s="595">
        <f t="shared" si="3"/>
        <v>1152875</v>
      </c>
      <c r="P22" s="807">
        <f t="shared" si="0"/>
        <v>1152875</v>
      </c>
      <c r="Q22" s="600"/>
    </row>
    <row r="23" spans="1:17" s="596" customFormat="1" ht="14.25" x14ac:dyDescent="0.2">
      <c r="A23" s="601" t="s">
        <v>20</v>
      </c>
      <c r="B23" s="709" t="s">
        <v>92</v>
      </c>
      <c r="C23" s="614">
        <f>C5+C6+C11+C12+C19+C20+C21+C22</f>
        <v>3211651000</v>
      </c>
      <c r="D23" s="604">
        <v>2695672437</v>
      </c>
      <c r="E23" s="605">
        <f t="shared" ref="E23:K23" si="6">E5+E6+E11+E12+E19+E20+E21+E22</f>
        <v>2513763427</v>
      </c>
      <c r="F23" s="805">
        <f t="shared" si="6"/>
        <v>3022154311</v>
      </c>
      <c r="G23" s="614">
        <f t="shared" si="6"/>
        <v>99856000</v>
      </c>
      <c r="H23" s="604">
        <f t="shared" si="6"/>
        <v>98093500</v>
      </c>
      <c r="I23" s="605">
        <f t="shared" si="6"/>
        <v>98093500</v>
      </c>
      <c r="J23" s="805">
        <f t="shared" si="6"/>
        <v>88561708</v>
      </c>
      <c r="K23" s="614">
        <f t="shared" si="6"/>
        <v>0</v>
      </c>
      <c r="L23" s="604"/>
      <c r="M23" s="603">
        <f t="shared" si="1"/>
        <v>3311507000</v>
      </c>
      <c r="N23" s="604">
        <f t="shared" si="2"/>
        <v>2793765937</v>
      </c>
      <c r="O23" s="605">
        <f t="shared" si="3"/>
        <v>2611856927</v>
      </c>
      <c r="P23" s="805">
        <f t="shared" si="0"/>
        <v>3110716019</v>
      </c>
      <c r="Q23" s="600"/>
    </row>
    <row r="24" spans="1:17" x14ac:dyDescent="0.25">
      <c r="A24" s="597" t="s">
        <v>21</v>
      </c>
      <c r="B24" s="707" t="s">
        <v>426</v>
      </c>
      <c r="C24" s="560">
        <v>350000000</v>
      </c>
      <c r="D24" s="561">
        <f>+C24</f>
        <v>350000000</v>
      </c>
      <c r="E24" s="558">
        <v>350000000</v>
      </c>
      <c r="F24" s="568">
        <v>350000000</v>
      </c>
      <c r="G24" s="560">
        <v>0</v>
      </c>
      <c r="H24" s="561"/>
      <c r="I24" s="558"/>
      <c r="J24" s="568"/>
      <c r="K24" s="560">
        <v>0</v>
      </c>
      <c r="L24" s="561"/>
      <c r="M24" s="594">
        <f t="shared" si="1"/>
        <v>350000000</v>
      </c>
      <c r="N24" s="593">
        <f t="shared" si="2"/>
        <v>350000000</v>
      </c>
      <c r="O24" s="595">
        <f t="shared" si="3"/>
        <v>350000000</v>
      </c>
      <c r="P24" s="807">
        <f t="shared" si="0"/>
        <v>350000000</v>
      </c>
      <c r="Q24" s="582"/>
    </row>
    <row r="25" spans="1:17" x14ac:dyDescent="0.25">
      <c r="A25" s="597" t="s">
        <v>22</v>
      </c>
      <c r="B25" s="707" t="s">
        <v>427</v>
      </c>
      <c r="C25" s="560"/>
      <c r="D25" s="561">
        <v>300000000</v>
      </c>
      <c r="E25" s="558">
        <v>300000000</v>
      </c>
      <c r="F25" s="568">
        <v>300000000</v>
      </c>
      <c r="G25" s="560"/>
      <c r="H25" s="561"/>
      <c r="I25" s="558"/>
      <c r="J25" s="568"/>
      <c r="K25" s="560">
        <v>0</v>
      </c>
      <c r="L25" s="561"/>
      <c r="M25" s="594">
        <f t="shared" si="1"/>
        <v>0</v>
      </c>
      <c r="N25" s="593">
        <f t="shared" si="2"/>
        <v>300000000</v>
      </c>
      <c r="O25" s="595">
        <f t="shared" si="3"/>
        <v>300000000</v>
      </c>
      <c r="P25" s="807">
        <f t="shared" si="0"/>
        <v>300000000</v>
      </c>
      <c r="Q25" s="582"/>
    </row>
    <row r="26" spans="1:17" x14ac:dyDescent="0.25">
      <c r="A26" s="597" t="s">
        <v>22</v>
      </c>
      <c r="B26" s="707" t="s">
        <v>94</v>
      </c>
      <c r="C26" s="560">
        <v>0</v>
      </c>
      <c r="D26" s="561"/>
      <c r="E26" s="558"/>
      <c r="F26" s="568"/>
      <c r="G26" s="560">
        <v>0</v>
      </c>
      <c r="H26" s="561"/>
      <c r="I26" s="558"/>
      <c r="J26" s="568"/>
      <c r="K26" s="560">
        <v>0</v>
      </c>
      <c r="L26" s="561"/>
      <c r="M26" s="594">
        <f t="shared" si="1"/>
        <v>0</v>
      </c>
      <c r="N26" s="593">
        <f t="shared" si="2"/>
        <v>0</v>
      </c>
      <c r="O26" s="595">
        <f t="shared" si="3"/>
        <v>0</v>
      </c>
      <c r="P26" s="807">
        <f t="shared" si="0"/>
        <v>0</v>
      </c>
      <c r="Q26" s="582"/>
    </row>
    <row r="27" spans="1:17" s="596" customFormat="1" ht="14.25" x14ac:dyDescent="0.2">
      <c r="A27" s="590" t="s">
        <v>23</v>
      </c>
      <c r="B27" s="708" t="s">
        <v>172</v>
      </c>
      <c r="C27" s="565">
        <v>326000000</v>
      </c>
      <c r="D27" s="563">
        <v>243572573</v>
      </c>
      <c r="E27" s="564">
        <v>243572573</v>
      </c>
      <c r="F27" s="569">
        <v>193295694</v>
      </c>
      <c r="G27" s="565">
        <v>0</v>
      </c>
      <c r="H27" s="563"/>
      <c r="I27" s="564"/>
      <c r="J27" s="569"/>
      <c r="K27" s="565">
        <v>0</v>
      </c>
      <c r="L27" s="563"/>
      <c r="M27" s="594">
        <f t="shared" si="1"/>
        <v>326000000</v>
      </c>
      <c r="N27" s="593">
        <f t="shared" si="2"/>
        <v>243572573</v>
      </c>
      <c r="O27" s="595">
        <f t="shared" si="3"/>
        <v>243572573</v>
      </c>
      <c r="P27" s="807">
        <f t="shared" si="0"/>
        <v>193295694</v>
      </c>
      <c r="Q27" s="600"/>
    </row>
    <row r="28" spans="1:17" x14ac:dyDescent="0.25">
      <c r="A28" s="597" t="s">
        <v>24</v>
      </c>
      <c r="B28" s="707" t="s">
        <v>96</v>
      </c>
      <c r="C28" s="560">
        <v>0</v>
      </c>
      <c r="D28" s="561"/>
      <c r="E28" s="558"/>
      <c r="F28" s="568"/>
      <c r="G28" s="560">
        <v>0</v>
      </c>
      <c r="H28" s="561"/>
      <c r="I28" s="558"/>
      <c r="J28" s="568"/>
      <c r="K28" s="560">
        <v>0</v>
      </c>
      <c r="L28" s="561"/>
      <c r="M28" s="594">
        <f t="shared" si="1"/>
        <v>0</v>
      </c>
      <c r="N28" s="593">
        <f t="shared" si="2"/>
        <v>0</v>
      </c>
      <c r="O28" s="595">
        <f t="shared" si="3"/>
        <v>0</v>
      </c>
      <c r="P28" s="807">
        <f t="shared" si="0"/>
        <v>0</v>
      </c>
      <c r="Q28" s="582"/>
    </row>
    <row r="29" spans="1:17" x14ac:dyDescent="0.25">
      <c r="A29" s="597" t="s">
        <v>133</v>
      </c>
      <c r="B29" s="707" t="s">
        <v>97</v>
      </c>
      <c r="C29" s="560">
        <v>0</v>
      </c>
      <c r="D29" s="561"/>
      <c r="E29" s="558"/>
      <c r="F29" s="568"/>
      <c r="G29" s="560">
        <v>0</v>
      </c>
      <c r="H29" s="561"/>
      <c r="I29" s="558"/>
      <c r="J29" s="568"/>
      <c r="K29" s="560">
        <v>0</v>
      </c>
      <c r="L29" s="561"/>
      <c r="M29" s="594">
        <f t="shared" si="1"/>
        <v>0</v>
      </c>
      <c r="N29" s="593">
        <f t="shared" si="2"/>
        <v>0</v>
      </c>
      <c r="O29" s="595">
        <f t="shared" si="3"/>
        <v>0</v>
      </c>
      <c r="P29" s="807">
        <f t="shared" si="0"/>
        <v>0</v>
      </c>
      <c r="Q29" s="582"/>
    </row>
    <row r="30" spans="1:17" x14ac:dyDescent="0.25">
      <c r="A30" s="597" t="s">
        <v>134</v>
      </c>
      <c r="B30" s="710" t="s">
        <v>237</v>
      </c>
      <c r="C30" s="607">
        <v>0</v>
      </c>
      <c r="D30" s="608"/>
      <c r="E30" s="609"/>
      <c r="F30" s="804"/>
      <c r="G30" s="610"/>
      <c r="H30" s="611"/>
      <c r="I30" s="612"/>
      <c r="J30" s="613"/>
      <c r="K30" s="610">
        <v>0</v>
      </c>
      <c r="L30" s="611"/>
      <c r="M30" s="594">
        <f t="shared" si="1"/>
        <v>0</v>
      </c>
      <c r="N30" s="593">
        <f t="shared" si="2"/>
        <v>0</v>
      </c>
      <c r="O30" s="595">
        <f t="shared" si="3"/>
        <v>0</v>
      </c>
      <c r="P30" s="807">
        <f t="shared" si="0"/>
        <v>0</v>
      </c>
      <c r="Q30" s="582"/>
    </row>
    <row r="31" spans="1:17" x14ac:dyDescent="0.25">
      <c r="A31" s="597" t="s">
        <v>25</v>
      </c>
      <c r="B31" s="710" t="s">
        <v>98</v>
      </c>
      <c r="C31" s="607">
        <v>0</v>
      </c>
      <c r="D31" s="608"/>
      <c r="E31" s="609"/>
      <c r="F31" s="804"/>
      <c r="G31" s="607">
        <v>0</v>
      </c>
      <c r="H31" s="608"/>
      <c r="I31" s="609"/>
      <c r="J31" s="804"/>
      <c r="K31" s="607">
        <v>0</v>
      </c>
      <c r="L31" s="608"/>
      <c r="M31" s="594">
        <f t="shared" si="1"/>
        <v>0</v>
      </c>
      <c r="N31" s="593">
        <f t="shared" si="2"/>
        <v>0</v>
      </c>
      <c r="O31" s="595">
        <f t="shared" si="3"/>
        <v>0</v>
      </c>
      <c r="P31" s="807">
        <f t="shared" si="0"/>
        <v>0</v>
      </c>
      <c r="Q31" s="582"/>
    </row>
    <row r="32" spans="1:17" x14ac:dyDescent="0.25">
      <c r="A32" s="597" t="s">
        <v>26</v>
      </c>
      <c r="B32" s="710" t="s">
        <v>99</v>
      </c>
      <c r="C32" s="607">
        <v>0</v>
      </c>
      <c r="D32" s="608"/>
      <c r="E32" s="609"/>
      <c r="F32" s="804"/>
      <c r="G32" s="607">
        <v>0</v>
      </c>
      <c r="H32" s="608"/>
      <c r="I32" s="609"/>
      <c r="J32" s="804"/>
      <c r="K32" s="607">
        <v>0</v>
      </c>
      <c r="L32" s="608"/>
      <c r="M32" s="594">
        <f t="shared" si="1"/>
        <v>0</v>
      </c>
      <c r="N32" s="593">
        <f t="shared" si="2"/>
        <v>0</v>
      </c>
      <c r="O32" s="595">
        <f t="shared" si="3"/>
        <v>0</v>
      </c>
      <c r="P32" s="807">
        <f t="shared" si="0"/>
        <v>0</v>
      </c>
      <c r="Q32" s="582"/>
    </row>
    <row r="33" spans="1:18" s="596" customFormat="1" ht="14.25" x14ac:dyDescent="0.2">
      <c r="A33" s="601" t="s">
        <v>27</v>
      </c>
      <c r="B33" s="709" t="s">
        <v>100</v>
      </c>
      <c r="C33" s="614">
        <f>C24+C26+C27+C28+C31+C32</f>
        <v>676000000</v>
      </c>
      <c r="D33" s="604">
        <f>D24+D26+D27+D28+D31+D32+D25</f>
        <v>893572573</v>
      </c>
      <c r="E33" s="605">
        <f>E24+E26+E27+E28+E31+E32+E25</f>
        <v>893572573</v>
      </c>
      <c r="F33" s="805">
        <f>F24+F26+F27+F28+F31+F32+F25</f>
        <v>843295694</v>
      </c>
      <c r="G33" s="614">
        <f>G24+G26+G27+G28+G31+G32</f>
        <v>0</v>
      </c>
      <c r="H33" s="604">
        <f>H24+H26+H27+H28+H31+H32</f>
        <v>0</v>
      </c>
      <c r="I33" s="605">
        <f>I24+I26+I27+I28+I31+I32</f>
        <v>0</v>
      </c>
      <c r="J33" s="805">
        <f>J24+J26+J27+J28+J31+J32</f>
        <v>0</v>
      </c>
      <c r="K33" s="614">
        <f>K24+K26+K27+K28+K31+K32</f>
        <v>0</v>
      </c>
      <c r="L33" s="604"/>
      <c r="M33" s="603">
        <f t="shared" si="1"/>
        <v>676000000</v>
      </c>
      <c r="N33" s="604">
        <f t="shared" si="2"/>
        <v>893572573</v>
      </c>
      <c r="O33" s="605">
        <f t="shared" si="3"/>
        <v>893572573</v>
      </c>
      <c r="P33" s="805">
        <f t="shared" si="0"/>
        <v>843295694</v>
      </c>
      <c r="Q33" s="600"/>
    </row>
    <row r="34" spans="1:18" s="596" customFormat="1" ht="21.75" x14ac:dyDescent="0.2">
      <c r="A34" s="615" t="s">
        <v>28</v>
      </c>
      <c r="B34" s="711" t="s">
        <v>101</v>
      </c>
      <c r="C34" s="616">
        <f>C23+C33</f>
        <v>3887651000</v>
      </c>
      <c r="D34" s="617">
        <f>D23+D33</f>
        <v>3589245010</v>
      </c>
      <c r="E34" s="618">
        <f>E23+E33</f>
        <v>3407336000</v>
      </c>
      <c r="F34" s="806">
        <f>F23+F33</f>
        <v>3865450005</v>
      </c>
      <c r="G34" s="616">
        <f>G23+G327</f>
        <v>99856000</v>
      </c>
      <c r="H34" s="617">
        <f>H23+H327</f>
        <v>98093500</v>
      </c>
      <c r="I34" s="618">
        <f>I23+I327</f>
        <v>98093500</v>
      </c>
      <c r="J34" s="806">
        <f>J23+J327</f>
        <v>88561708</v>
      </c>
      <c r="K34" s="616">
        <f>K23+K33</f>
        <v>0</v>
      </c>
      <c r="L34" s="617"/>
      <c r="M34" s="619">
        <f t="shared" si="1"/>
        <v>3987507000</v>
      </c>
      <c r="N34" s="617">
        <f t="shared" si="2"/>
        <v>3687338510</v>
      </c>
      <c r="O34" s="618">
        <f t="shared" si="3"/>
        <v>3505429500</v>
      </c>
      <c r="P34" s="806">
        <f t="shared" si="0"/>
        <v>3954011713</v>
      </c>
      <c r="Q34" s="600"/>
    </row>
    <row r="35" spans="1:18" s="596" customFormat="1" ht="14.25" x14ac:dyDescent="0.2">
      <c r="A35" s="615"/>
      <c r="B35" s="711"/>
      <c r="C35" s="616"/>
      <c r="D35" s="617"/>
      <c r="E35" s="618"/>
      <c r="F35" s="806"/>
      <c r="G35" s="616"/>
      <c r="H35" s="617"/>
      <c r="I35" s="618"/>
      <c r="J35" s="806"/>
      <c r="K35" s="616"/>
      <c r="L35" s="617"/>
      <c r="M35" s="619"/>
      <c r="N35" s="617"/>
      <c r="O35" s="618"/>
      <c r="P35" s="806">
        <f t="shared" si="0"/>
        <v>0</v>
      </c>
      <c r="Q35" s="600"/>
    </row>
    <row r="36" spans="1:18" s="596" customFormat="1" ht="14.25" x14ac:dyDescent="0.2">
      <c r="A36" s="615"/>
      <c r="B36" s="711"/>
      <c r="C36" s="616"/>
      <c r="D36" s="617"/>
      <c r="E36" s="618"/>
      <c r="F36" s="806"/>
      <c r="G36" s="616"/>
      <c r="H36" s="617"/>
      <c r="I36" s="618"/>
      <c r="J36" s="806"/>
      <c r="K36" s="616"/>
      <c r="L36" s="617"/>
      <c r="M36" s="619"/>
      <c r="N36" s="617"/>
      <c r="O36" s="618"/>
      <c r="P36" s="806">
        <f t="shared" si="0"/>
        <v>0</v>
      </c>
      <c r="Q36" s="600"/>
    </row>
    <row r="37" spans="1:18" s="596" customFormat="1" ht="14.25" x14ac:dyDescent="0.2">
      <c r="A37" s="615"/>
      <c r="B37" s="711"/>
      <c r="C37" s="616"/>
      <c r="D37" s="617"/>
      <c r="E37" s="618"/>
      <c r="F37" s="806"/>
      <c r="G37" s="616"/>
      <c r="H37" s="617"/>
      <c r="I37" s="618"/>
      <c r="J37" s="806"/>
      <c r="K37" s="616"/>
      <c r="L37" s="617"/>
      <c r="M37" s="619"/>
      <c r="N37" s="617"/>
      <c r="O37" s="618"/>
      <c r="P37" s="806">
        <f t="shared" si="0"/>
        <v>0</v>
      </c>
      <c r="Q37" s="600"/>
    </row>
    <row r="38" spans="1:18" x14ac:dyDescent="0.25">
      <c r="A38" s="620"/>
      <c r="B38" s="712"/>
      <c r="C38" s="592"/>
      <c r="D38" s="611"/>
      <c r="E38" s="595"/>
      <c r="F38" s="807"/>
      <c r="G38" s="592">
        <f>+C34+G34</f>
        <v>3987507000</v>
      </c>
      <c r="H38" s="593">
        <f>+D34+H34</f>
        <v>3687338510</v>
      </c>
      <c r="I38" s="595">
        <f>+E34+I34</f>
        <v>3505429500</v>
      </c>
      <c r="J38" s="807">
        <f>+F34+J34</f>
        <v>3954011713</v>
      </c>
      <c r="K38" s="607"/>
      <c r="L38" s="608"/>
      <c r="M38" s="594"/>
      <c r="N38" s="593"/>
      <c r="O38" s="595"/>
      <c r="P38" s="807"/>
      <c r="Q38" s="582"/>
    </row>
    <row r="39" spans="1:18" ht="28.5" customHeight="1" x14ac:dyDescent="0.25">
      <c r="B39" s="713" t="s">
        <v>6</v>
      </c>
      <c r="C39" s="621"/>
      <c r="D39" s="622"/>
      <c r="E39" s="623"/>
      <c r="F39" s="624"/>
      <c r="I39" s="689"/>
      <c r="M39" s="582" t="s">
        <v>400</v>
      </c>
      <c r="N39" s="580"/>
      <c r="O39" s="581"/>
      <c r="P39" s="691"/>
    </row>
    <row r="40" spans="1:18" ht="61.5" customHeight="1" x14ac:dyDescent="0.25">
      <c r="A40" s="628" t="s">
        <v>31</v>
      </c>
      <c r="B40" s="714" t="s">
        <v>32</v>
      </c>
      <c r="C40" s="629" t="s">
        <v>418</v>
      </c>
      <c r="D40" s="584" t="s">
        <v>537</v>
      </c>
      <c r="E40" s="585" t="s">
        <v>538</v>
      </c>
      <c r="F40" s="803" t="s">
        <v>539</v>
      </c>
      <c r="G40" s="629" t="s">
        <v>419</v>
      </c>
      <c r="H40" s="630" t="s">
        <v>423</v>
      </c>
      <c r="I40" s="585" t="s">
        <v>423</v>
      </c>
      <c r="J40" s="803" t="s">
        <v>545</v>
      </c>
      <c r="K40" s="629" t="s">
        <v>420</v>
      </c>
      <c r="L40" s="630" t="s">
        <v>424</v>
      </c>
      <c r="M40" s="586" t="s">
        <v>421</v>
      </c>
      <c r="N40" s="587" t="s">
        <v>541</v>
      </c>
      <c r="O40" s="588" t="s">
        <v>542</v>
      </c>
      <c r="P40" s="811" t="s">
        <v>540</v>
      </c>
      <c r="Q40" s="582"/>
      <c r="R40" s="582"/>
    </row>
    <row r="41" spans="1:18" s="596" customFormat="1" ht="12.75" customHeight="1" x14ac:dyDescent="0.2">
      <c r="A41" s="631" t="s">
        <v>12</v>
      </c>
      <c r="B41" s="708" t="s">
        <v>103</v>
      </c>
      <c r="C41" s="632">
        <f>C42+C43+C44+C45+C46+C51</f>
        <v>1134218000</v>
      </c>
      <c r="D41" s="633">
        <f>D42+D43+D44+D45+D46+D51</f>
        <v>1152594179</v>
      </c>
      <c r="E41" s="634">
        <f>E42+E43+E44+E45+E46+E51</f>
        <v>1256682178</v>
      </c>
      <c r="F41" s="635">
        <f>F42+F43+F44+F45+F46+F51</f>
        <v>1189376341</v>
      </c>
      <c r="G41" s="632">
        <f t="shared" ref="G41:I41" si="7">G42+G43+G44+G45+G46+G51</f>
        <v>99856000</v>
      </c>
      <c r="H41" s="633">
        <f t="shared" si="7"/>
        <v>98379608</v>
      </c>
      <c r="I41" s="634">
        <f t="shared" si="7"/>
        <v>25420608</v>
      </c>
      <c r="J41" s="635">
        <f>J42+J43+J44+J45+J46+J51</f>
        <v>88561708</v>
      </c>
      <c r="K41" s="632">
        <f>K42+K43+K44+K45+K46+K51</f>
        <v>0</v>
      </c>
      <c r="L41" s="633"/>
      <c r="M41" s="562">
        <f t="shared" ref="M41:M66" si="8">C41+G41+K41</f>
        <v>1234074000</v>
      </c>
      <c r="N41" s="563">
        <f t="shared" ref="N41:N66" si="9">+D41+H41+L41</f>
        <v>1250973787</v>
      </c>
      <c r="O41" s="564">
        <f t="shared" ref="O41:O66" si="10">+E41+I41+L41</f>
        <v>1282102786</v>
      </c>
      <c r="P41" s="569">
        <f>+F41+J41+L41</f>
        <v>1277938049</v>
      </c>
    </row>
    <row r="42" spans="1:18" ht="12.75" customHeight="1" x14ac:dyDescent="0.25">
      <c r="A42" s="636" t="s">
        <v>59</v>
      </c>
      <c r="B42" s="707" t="s">
        <v>7</v>
      </c>
      <c r="C42" s="560">
        <v>76434000</v>
      </c>
      <c r="D42" s="561">
        <f>83334000+20000000</f>
        <v>103334000</v>
      </c>
      <c r="E42" s="558">
        <v>116857000</v>
      </c>
      <c r="F42" s="568">
        <v>130355832</v>
      </c>
      <c r="G42" s="560">
        <v>0</v>
      </c>
      <c r="H42" s="561">
        <v>0</v>
      </c>
      <c r="I42" s="558">
        <v>0</v>
      </c>
      <c r="J42" s="568"/>
      <c r="K42" s="560">
        <v>0</v>
      </c>
      <c r="L42" s="561"/>
      <c r="M42" s="562">
        <f t="shared" si="8"/>
        <v>76434000</v>
      </c>
      <c r="N42" s="563">
        <f t="shared" si="9"/>
        <v>103334000</v>
      </c>
      <c r="O42" s="564">
        <f t="shared" si="10"/>
        <v>116857000</v>
      </c>
      <c r="P42" s="569">
        <f t="shared" ref="P42:P66" si="11">+F42+J42+L42</f>
        <v>130355832</v>
      </c>
      <c r="Q42" s="600"/>
    </row>
    <row r="43" spans="1:18" ht="12.75" customHeight="1" x14ac:dyDescent="0.25">
      <c r="A43" s="636" t="s">
        <v>60</v>
      </c>
      <c r="B43" s="707" t="s">
        <v>107</v>
      </c>
      <c r="C43" s="560">
        <v>13644000</v>
      </c>
      <c r="D43" s="561">
        <f>16144000+3000000</f>
        <v>19144000</v>
      </c>
      <c r="E43" s="558">
        <v>19672000</v>
      </c>
      <c r="F43" s="568">
        <v>19240458</v>
      </c>
      <c r="G43" s="560">
        <v>0</v>
      </c>
      <c r="H43" s="561">
        <v>0</v>
      </c>
      <c r="I43" s="558">
        <v>0</v>
      </c>
      <c r="J43" s="568"/>
      <c r="K43" s="560">
        <v>0</v>
      </c>
      <c r="L43" s="561"/>
      <c r="M43" s="562">
        <f t="shared" si="8"/>
        <v>13644000</v>
      </c>
      <c r="N43" s="563">
        <f t="shared" si="9"/>
        <v>19144000</v>
      </c>
      <c r="O43" s="564">
        <f t="shared" si="10"/>
        <v>19672000</v>
      </c>
      <c r="P43" s="569">
        <f t="shared" si="11"/>
        <v>19240458</v>
      </c>
    </row>
    <row r="44" spans="1:18" ht="12.75" customHeight="1" x14ac:dyDescent="0.25">
      <c r="A44" s="636" t="s">
        <v>61</v>
      </c>
      <c r="B44" s="707" t="s">
        <v>108</v>
      </c>
      <c r="C44" s="560">
        <v>444202000</v>
      </c>
      <c r="D44" s="561">
        <v>449488459</v>
      </c>
      <c r="E44" s="558">
        <f>432982000-I44+59426235-377</f>
        <v>489075858</v>
      </c>
      <c r="F44" s="568">
        <v>471270014</v>
      </c>
      <c r="G44" s="560">
        <v>0</v>
      </c>
      <c r="H44" s="561">
        <v>0</v>
      </c>
      <c r="I44" s="558">
        <v>3332000</v>
      </c>
      <c r="J44" s="568"/>
      <c r="K44" s="560">
        <v>0</v>
      </c>
      <c r="L44" s="561"/>
      <c r="M44" s="562">
        <f t="shared" si="8"/>
        <v>444202000</v>
      </c>
      <c r="N44" s="563">
        <f t="shared" si="9"/>
        <v>449488459</v>
      </c>
      <c r="O44" s="564">
        <f t="shared" si="10"/>
        <v>492407858</v>
      </c>
      <c r="P44" s="569">
        <f t="shared" si="11"/>
        <v>471270014</v>
      </c>
    </row>
    <row r="45" spans="1:18" ht="12.75" customHeight="1" x14ac:dyDescent="0.25">
      <c r="A45" s="636" t="s">
        <v>62</v>
      </c>
      <c r="B45" s="707" t="s">
        <v>109</v>
      </c>
      <c r="C45" s="560">
        <v>0</v>
      </c>
      <c r="D45" s="561">
        <v>0</v>
      </c>
      <c r="E45" s="558"/>
      <c r="F45" s="568"/>
      <c r="G45" s="560">
        <v>17000000</v>
      </c>
      <c r="H45" s="561">
        <v>19523608</v>
      </c>
      <c r="I45" s="558">
        <v>19523608</v>
      </c>
      <c r="J45" s="568">
        <v>19523608</v>
      </c>
      <c r="K45" s="560">
        <v>0</v>
      </c>
      <c r="L45" s="561"/>
      <c r="M45" s="562">
        <f t="shared" si="8"/>
        <v>17000000</v>
      </c>
      <c r="N45" s="563">
        <f t="shared" si="9"/>
        <v>19523608</v>
      </c>
      <c r="O45" s="564">
        <f t="shared" si="10"/>
        <v>19523608</v>
      </c>
      <c r="P45" s="569">
        <f t="shared" si="11"/>
        <v>19523608</v>
      </c>
    </row>
    <row r="46" spans="1:18" s="596" customFormat="1" ht="12.75" customHeight="1" x14ac:dyDescent="0.2">
      <c r="A46" s="637" t="s">
        <v>63</v>
      </c>
      <c r="B46" s="708" t="s">
        <v>110</v>
      </c>
      <c r="C46" s="565">
        <f>C49+C50+C47</f>
        <v>485938000</v>
      </c>
      <c r="D46" s="563">
        <f>D49+D50+D47</f>
        <v>485938000</v>
      </c>
      <c r="E46" s="564">
        <f>E48+E47</f>
        <v>595033000</v>
      </c>
      <c r="F46" s="569">
        <f>F48+F47</f>
        <v>532465717</v>
      </c>
      <c r="G46" s="565">
        <f>G49+G50</f>
        <v>82856000</v>
      </c>
      <c r="H46" s="563">
        <f>H49+H50</f>
        <v>78856000</v>
      </c>
      <c r="I46" s="564">
        <f>I49+I50</f>
        <v>2565000</v>
      </c>
      <c r="J46" s="569">
        <v>69038100</v>
      </c>
      <c r="K46" s="565">
        <f>K49+K50</f>
        <v>0</v>
      </c>
      <c r="L46" s="563"/>
      <c r="M46" s="562">
        <f t="shared" si="8"/>
        <v>568794000</v>
      </c>
      <c r="N46" s="563">
        <f t="shared" si="9"/>
        <v>564794000</v>
      </c>
      <c r="O46" s="564">
        <f t="shared" si="10"/>
        <v>597598000</v>
      </c>
      <c r="P46" s="569">
        <f t="shared" si="11"/>
        <v>601503817</v>
      </c>
      <c r="Q46" s="600"/>
    </row>
    <row r="47" spans="1:18" ht="12.75" customHeight="1" x14ac:dyDescent="0.25">
      <c r="A47" s="638" t="s">
        <v>104</v>
      </c>
      <c r="B47" s="707" t="s">
        <v>381</v>
      </c>
      <c r="C47" s="560">
        <v>6755000</v>
      </c>
      <c r="D47" s="561">
        <v>6755000</v>
      </c>
      <c r="E47" s="558">
        <v>6801000</v>
      </c>
      <c r="F47" s="568">
        <f>9373081+160000</f>
        <v>9533081</v>
      </c>
      <c r="G47" s="560">
        <v>0</v>
      </c>
      <c r="H47" s="561">
        <v>0</v>
      </c>
      <c r="I47" s="558">
        <v>168000</v>
      </c>
      <c r="J47" s="568"/>
      <c r="K47" s="560">
        <v>0</v>
      </c>
      <c r="L47" s="561"/>
      <c r="M47" s="562">
        <f>C47+G47+K47</f>
        <v>6755000</v>
      </c>
      <c r="N47" s="563">
        <f t="shared" si="9"/>
        <v>6755000</v>
      </c>
      <c r="O47" s="564">
        <f t="shared" si="10"/>
        <v>6969000</v>
      </c>
      <c r="P47" s="569">
        <f t="shared" si="11"/>
        <v>9533081</v>
      </c>
    </row>
    <row r="48" spans="1:18" s="596" customFormat="1" ht="12.75" customHeight="1" x14ac:dyDescent="0.2">
      <c r="A48" s="639" t="s">
        <v>105</v>
      </c>
      <c r="B48" s="708" t="s">
        <v>550</v>
      </c>
      <c r="C48" s="565">
        <f>+C49+C50</f>
        <v>479183000</v>
      </c>
      <c r="D48" s="563">
        <f t="shared" ref="D48:L48" si="12">+D49+D50</f>
        <v>479183000</v>
      </c>
      <c r="E48" s="564">
        <f>+E49+E50</f>
        <v>588232000</v>
      </c>
      <c r="F48" s="569">
        <f>+F49+F50</f>
        <v>522932636</v>
      </c>
      <c r="G48" s="565">
        <f t="shared" si="12"/>
        <v>82856000</v>
      </c>
      <c r="H48" s="563">
        <f t="shared" si="12"/>
        <v>78856000</v>
      </c>
      <c r="I48" s="564">
        <f t="shared" si="12"/>
        <v>2565000</v>
      </c>
      <c r="J48" s="569">
        <f>+J49+J50</f>
        <v>69038100</v>
      </c>
      <c r="K48" s="565">
        <f t="shared" si="12"/>
        <v>0</v>
      </c>
      <c r="L48" s="563">
        <f t="shared" si="12"/>
        <v>0</v>
      </c>
      <c r="M48" s="562">
        <f>C48+G48+K48</f>
        <v>562039000</v>
      </c>
      <c r="N48" s="563">
        <f t="shared" ref="N48" si="13">+D48+H48+L48</f>
        <v>558039000</v>
      </c>
      <c r="O48" s="564">
        <f t="shared" ref="O48" si="14">+E48+I48+L48</f>
        <v>590797000</v>
      </c>
      <c r="P48" s="569">
        <f t="shared" si="11"/>
        <v>591970736</v>
      </c>
    </row>
    <row r="49" spans="1:17" ht="12.75" customHeight="1" x14ac:dyDescent="0.25">
      <c r="A49" s="638" t="s">
        <v>380</v>
      </c>
      <c r="B49" s="707" t="s">
        <v>111</v>
      </c>
      <c r="C49" s="560">
        <v>241272000</v>
      </c>
      <c r="D49" s="561">
        <v>241272000</v>
      </c>
      <c r="E49" s="558">
        <v>300888000</v>
      </c>
      <c r="F49" s="568">
        <v>280688636</v>
      </c>
      <c r="G49" s="560">
        <v>49356000</v>
      </c>
      <c r="H49" s="561">
        <v>43756000</v>
      </c>
      <c r="I49" s="558">
        <v>1160000</v>
      </c>
      <c r="J49" s="568">
        <v>23938100</v>
      </c>
      <c r="K49" s="560">
        <v>0</v>
      </c>
      <c r="L49" s="561"/>
      <c r="M49" s="562">
        <f t="shared" si="8"/>
        <v>290628000</v>
      </c>
      <c r="N49" s="563">
        <f t="shared" si="9"/>
        <v>285028000</v>
      </c>
      <c r="O49" s="564">
        <f t="shared" si="10"/>
        <v>302048000</v>
      </c>
      <c r="P49" s="569">
        <f>+F49+J49+L49</f>
        <v>304626736</v>
      </c>
    </row>
    <row r="50" spans="1:17" ht="12.75" customHeight="1" x14ac:dyDescent="0.25">
      <c r="A50" s="638" t="s">
        <v>549</v>
      </c>
      <c r="B50" s="707" t="s">
        <v>112</v>
      </c>
      <c r="C50" s="560">
        <v>237911000</v>
      </c>
      <c r="D50" s="561">
        <v>237911000</v>
      </c>
      <c r="E50" s="558">
        <v>287344000</v>
      </c>
      <c r="F50" s="568">
        <v>242244000</v>
      </c>
      <c r="G50" s="560">
        <v>33500000</v>
      </c>
      <c r="H50" s="561">
        <v>35100000</v>
      </c>
      <c r="I50" s="558">
        <v>1405000</v>
      </c>
      <c r="J50" s="568">
        <v>45100000</v>
      </c>
      <c r="K50" s="560">
        <v>0</v>
      </c>
      <c r="L50" s="561"/>
      <c r="M50" s="562">
        <f t="shared" si="8"/>
        <v>271411000</v>
      </c>
      <c r="N50" s="563">
        <f t="shared" si="9"/>
        <v>273011000</v>
      </c>
      <c r="O50" s="564">
        <f t="shared" si="10"/>
        <v>288749000</v>
      </c>
      <c r="P50" s="569">
        <f t="shared" si="11"/>
        <v>287344000</v>
      </c>
    </row>
    <row r="51" spans="1:17" s="596" customFormat="1" ht="12.75" customHeight="1" x14ac:dyDescent="0.2">
      <c r="A51" s="639" t="s">
        <v>106</v>
      </c>
      <c r="B51" s="708" t="s">
        <v>9</v>
      </c>
      <c r="C51" s="565">
        <v>114000000</v>
      </c>
      <c r="D51" s="563">
        <v>94689720</v>
      </c>
      <c r="E51" s="564">
        <f>'11-12.tartalék.köt.köt.részl.'!E24</f>
        <v>36044320</v>
      </c>
      <c r="F51" s="569">
        <v>36044320</v>
      </c>
      <c r="G51" s="565">
        <v>0</v>
      </c>
      <c r="H51" s="563">
        <v>0</v>
      </c>
      <c r="I51" s="564">
        <v>0</v>
      </c>
      <c r="J51" s="569"/>
      <c r="K51" s="565">
        <v>0</v>
      </c>
      <c r="L51" s="563"/>
      <c r="M51" s="562">
        <f t="shared" si="8"/>
        <v>114000000</v>
      </c>
      <c r="N51" s="563">
        <f t="shared" si="9"/>
        <v>94689720</v>
      </c>
      <c r="O51" s="564">
        <f t="shared" si="10"/>
        <v>36044320</v>
      </c>
      <c r="P51" s="569">
        <f t="shared" si="11"/>
        <v>36044320</v>
      </c>
    </row>
    <row r="52" spans="1:17" ht="12.75" customHeight="1" x14ac:dyDescent="0.25">
      <c r="A52" s="638"/>
      <c r="B52" s="707" t="s">
        <v>276</v>
      </c>
      <c r="C52" s="560">
        <v>87000000</v>
      </c>
      <c r="D52" s="561">
        <v>64886220</v>
      </c>
      <c r="E52" s="558">
        <v>64886000</v>
      </c>
      <c r="F52" s="568">
        <v>25044320</v>
      </c>
      <c r="G52" s="560">
        <v>0</v>
      </c>
      <c r="H52" s="561">
        <v>0</v>
      </c>
      <c r="I52" s="558">
        <v>0</v>
      </c>
      <c r="J52" s="568"/>
      <c r="K52" s="560">
        <v>0</v>
      </c>
      <c r="L52" s="561"/>
      <c r="M52" s="562">
        <f t="shared" si="8"/>
        <v>87000000</v>
      </c>
      <c r="N52" s="563">
        <f t="shared" si="9"/>
        <v>64886220</v>
      </c>
      <c r="O52" s="564">
        <f t="shared" si="10"/>
        <v>64886000</v>
      </c>
      <c r="P52" s="569">
        <f t="shared" si="11"/>
        <v>25044320</v>
      </c>
    </row>
    <row r="53" spans="1:17" s="596" customFormat="1" ht="12.75" customHeight="1" x14ac:dyDescent="0.2">
      <c r="A53" s="639" t="s">
        <v>13</v>
      </c>
      <c r="B53" s="708" t="s">
        <v>113</v>
      </c>
      <c r="C53" s="565">
        <f>+C54+C55+C56</f>
        <v>1578828000</v>
      </c>
      <c r="D53" s="563">
        <f>+D54+D55+D56</f>
        <v>987655000</v>
      </c>
      <c r="E53" s="564">
        <f>+E54+E55+E56</f>
        <v>605428000</v>
      </c>
      <c r="F53" s="569">
        <f>+F54+F55+F56</f>
        <v>1165170422</v>
      </c>
      <c r="G53" s="565">
        <f>G54+G55+G56</f>
        <v>0</v>
      </c>
      <c r="H53" s="563">
        <f>H54+H55+H56</f>
        <v>0</v>
      </c>
      <c r="I53" s="564">
        <f>I54+I55+I56</f>
        <v>0</v>
      </c>
      <c r="J53" s="569">
        <f>J54+J55+J56</f>
        <v>0</v>
      </c>
      <c r="K53" s="565">
        <f>K54+K55+K56</f>
        <v>0</v>
      </c>
      <c r="L53" s="563"/>
      <c r="M53" s="562">
        <f t="shared" si="8"/>
        <v>1578828000</v>
      </c>
      <c r="N53" s="563">
        <f t="shared" si="9"/>
        <v>987655000</v>
      </c>
      <c r="O53" s="564">
        <f t="shared" si="10"/>
        <v>605428000</v>
      </c>
      <c r="P53" s="569">
        <f t="shared" si="11"/>
        <v>1165170422</v>
      </c>
    </row>
    <row r="54" spans="1:17" ht="12.75" customHeight="1" x14ac:dyDescent="0.25">
      <c r="A54" s="638" t="s">
        <v>54</v>
      </c>
      <c r="B54" s="707" t="s">
        <v>10</v>
      </c>
      <c r="C54" s="560">
        <v>1453828000</v>
      </c>
      <c r="D54" s="561">
        <v>794140000</v>
      </c>
      <c r="E54" s="558">
        <v>536812000</v>
      </c>
      <c r="F54" s="568">
        <v>1016656422</v>
      </c>
      <c r="G54" s="560">
        <v>0</v>
      </c>
      <c r="H54" s="561">
        <v>0</v>
      </c>
      <c r="I54" s="558">
        <v>0</v>
      </c>
      <c r="J54" s="568"/>
      <c r="K54" s="560">
        <v>0</v>
      </c>
      <c r="L54" s="561"/>
      <c r="M54" s="559">
        <f t="shared" si="8"/>
        <v>1453828000</v>
      </c>
      <c r="N54" s="561">
        <f t="shared" si="9"/>
        <v>794140000</v>
      </c>
      <c r="O54" s="558">
        <f t="shared" si="10"/>
        <v>536812000</v>
      </c>
      <c r="P54" s="568">
        <f t="shared" si="11"/>
        <v>1016656422</v>
      </c>
      <c r="Q54" s="582"/>
    </row>
    <row r="55" spans="1:17" ht="12.75" customHeight="1" x14ac:dyDescent="0.25">
      <c r="A55" s="638" t="s">
        <v>55</v>
      </c>
      <c r="B55" s="707" t="s">
        <v>11</v>
      </c>
      <c r="C55" s="560">
        <v>125000000</v>
      </c>
      <c r="D55" s="561">
        <v>193515000</v>
      </c>
      <c r="E55" s="558">
        <v>68616000</v>
      </c>
      <c r="F55" s="568">
        <v>148514000</v>
      </c>
      <c r="G55" s="560">
        <v>0</v>
      </c>
      <c r="H55" s="561">
        <v>0</v>
      </c>
      <c r="I55" s="558">
        <v>0</v>
      </c>
      <c r="J55" s="568"/>
      <c r="K55" s="560">
        <v>0</v>
      </c>
      <c r="L55" s="561"/>
      <c r="M55" s="559">
        <f t="shared" si="8"/>
        <v>125000000</v>
      </c>
      <c r="N55" s="561">
        <f t="shared" si="9"/>
        <v>193515000</v>
      </c>
      <c r="O55" s="558">
        <f t="shared" si="10"/>
        <v>68616000</v>
      </c>
      <c r="P55" s="568">
        <f t="shared" si="11"/>
        <v>148514000</v>
      </c>
    </row>
    <row r="56" spans="1:17" ht="12.75" customHeight="1" x14ac:dyDescent="0.25">
      <c r="A56" s="638" t="s">
        <v>64</v>
      </c>
      <c r="B56" s="707" t="s">
        <v>114</v>
      </c>
      <c r="C56" s="560">
        <v>0</v>
      </c>
      <c r="D56" s="561">
        <v>0</v>
      </c>
      <c r="E56" s="558">
        <v>0</v>
      </c>
      <c r="F56" s="568"/>
      <c r="G56" s="560">
        <v>0</v>
      </c>
      <c r="H56" s="561">
        <v>0</v>
      </c>
      <c r="I56" s="558">
        <v>0</v>
      </c>
      <c r="J56" s="568"/>
      <c r="K56" s="560">
        <v>0</v>
      </c>
      <c r="L56" s="561"/>
      <c r="M56" s="559">
        <f t="shared" si="8"/>
        <v>0</v>
      </c>
      <c r="N56" s="561">
        <f t="shared" si="9"/>
        <v>0</v>
      </c>
      <c r="O56" s="558">
        <f t="shared" si="10"/>
        <v>0</v>
      </c>
      <c r="P56" s="568">
        <f t="shared" si="11"/>
        <v>0</v>
      </c>
    </row>
    <row r="57" spans="1:17" s="596" customFormat="1" ht="12.75" customHeight="1" x14ac:dyDescent="0.2">
      <c r="A57" s="641" t="s">
        <v>14</v>
      </c>
      <c r="B57" s="709" t="s">
        <v>115</v>
      </c>
      <c r="C57" s="614">
        <f t="shared" ref="C57:K57" si="15">C41+C53</f>
        <v>2713046000</v>
      </c>
      <c r="D57" s="604">
        <f t="shared" si="15"/>
        <v>2140249179</v>
      </c>
      <c r="E57" s="605">
        <f t="shared" si="15"/>
        <v>1862110178</v>
      </c>
      <c r="F57" s="805">
        <f t="shared" si="15"/>
        <v>2354546763</v>
      </c>
      <c r="G57" s="614">
        <f t="shared" si="15"/>
        <v>99856000</v>
      </c>
      <c r="H57" s="604">
        <f t="shared" si="15"/>
        <v>98379608</v>
      </c>
      <c r="I57" s="605">
        <f t="shared" si="15"/>
        <v>25420608</v>
      </c>
      <c r="J57" s="805">
        <f t="shared" si="15"/>
        <v>88561708</v>
      </c>
      <c r="K57" s="614">
        <f t="shared" si="15"/>
        <v>0</v>
      </c>
      <c r="L57" s="604"/>
      <c r="M57" s="603">
        <f t="shared" si="8"/>
        <v>2812902000</v>
      </c>
      <c r="N57" s="604">
        <f t="shared" si="9"/>
        <v>2238628787</v>
      </c>
      <c r="O57" s="605">
        <f t="shared" si="10"/>
        <v>1887530786</v>
      </c>
      <c r="P57" s="805">
        <f t="shared" si="11"/>
        <v>2443108471</v>
      </c>
      <c r="Q57" s="600"/>
    </row>
    <row r="58" spans="1:17" ht="12.75" customHeight="1" x14ac:dyDescent="0.25">
      <c r="A58" s="636" t="s">
        <v>15</v>
      </c>
      <c r="B58" s="707" t="s">
        <v>428</v>
      </c>
      <c r="C58" s="560">
        <v>61368000</v>
      </c>
      <c r="D58" s="561">
        <v>46152000</v>
      </c>
      <c r="E58" s="558">
        <v>46152000</v>
      </c>
      <c r="F58" s="568">
        <f>+E58</f>
        <v>46152000</v>
      </c>
      <c r="G58" s="560">
        <v>0</v>
      </c>
      <c r="H58" s="561"/>
      <c r="I58" s="558"/>
      <c r="J58" s="568"/>
      <c r="K58" s="560">
        <v>0</v>
      </c>
      <c r="L58" s="561"/>
      <c r="M58" s="562">
        <f t="shared" si="8"/>
        <v>61368000</v>
      </c>
      <c r="N58" s="563">
        <f t="shared" si="9"/>
        <v>46152000</v>
      </c>
      <c r="O58" s="564">
        <f t="shared" si="10"/>
        <v>46152000</v>
      </c>
      <c r="P58" s="569">
        <f t="shared" si="11"/>
        <v>46152000</v>
      </c>
      <c r="Q58" s="582"/>
    </row>
    <row r="59" spans="1:17" ht="12.75" customHeight="1" x14ac:dyDescent="0.25">
      <c r="A59" s="636" t="s">
        <v>16</v>
      </c>
      <c r="B59" s="707" t="s">
        <v>429</v>
      </c>
      <c r="C59" s="560">
        <v>0</v>
      </c>
      <c r="D59" s="561">
        <v>300000000</v>
      </c>
      <c r="E59" s="558">
        <v>300000000</v>
      </c>
      <c r="F59" s="568">
        <v>300000000</v>
      </c>
      <c r="G59" s="560">
        <v>0</v>
      </c>
      <c r="H59" s="561"/>
      <c r="I59" s="558"/>
      <c r="J59" s="568"/>
      <c r="K59" s="560">
        <v>0</v>
      </c>
      <c r="L59" s="561"/>
      <c r="M59" s="562">
        <f t="shared" si="8"/>
        <v>0</v>
      </c>
      <c r="N59" s="563">
        <f t="shared" si="9"/>
        <v>300000000</v>
      </c>
      <c r="O59" s="564">
        <f t="shared" si="10"/>
        <v>300000000</v>
      </c>
      <c r="P59" s="569">
        <f t="shared" si="11"/>
        <v>300000000</v>
      </c>
      <c r="Q59" s="582"/>
    </row>
    <row r="60" spans="1:17" ht="12.75" customHeight="1" x14ac:dyDescent="0.25">
      <c r="A60" s="636" t="s">
        <v>17</v>
      </c>
      <c r="B60" s="707" t="s">
        <v>350</v>
      </c>
      <c r="C60" s="560">
        <v>32301000</v>
      </c>
      <c r="D60" s="561">
        <v>32462142</v>
      </c>
      <c r="E60" s="558">
        <v>32462142</v>
      </c>
      <c r="F60" s="568">
        <v>32462142</v>
      </c>
      <c r="G60" s="560">
        <v>0</v>
      </c>
      <c r="H60" s="561"/>
      <c r="I60" s="558"/>
      <c r="J60" s="568"/>
      <c r="K60" s="560">
        <v>0</v>
      </c>
      <c r="L60" s="561"/>
      <c r="M60" s="562">
        <f t="shared" si="8"/>
        <v>32301000</v>
      </c>
      <c r="N60" s="563">
        <f t="shared" si="9"/>
        <v>32462142</v>
      </c>
      <c r="O60" s="564">
        <f t="shared" si="10"/>
        <v>32462142</v>
      </c>
      <c r="P60" s="569">
        <f t="shared" si="11"/>
        <v>32462142</v>
      </c>
    </row>
    <row r="61" spans="1:17" ht="12.75" customHeight="1" x14ac:dyDescent="0.25">
      <c r="A61" s="636" t="s">
        <v>18</v>
      </c>
      <c r="B61" s="707" t="s">
        <v>117</v>
      </c>
      <c r="C61" s="560">
        <f>+C62+C63</f>
        <v>1080936000</v>
      </c>
      <c r="D61" s="561">
        <f t="shared" ref="D61:J61" si="16">+D62+D63</f>
        <v>1070381689</v>
      </c>
      <c r="E61" s="558">
        <f t="shared" si="16"/>
        <v>1492603000</v>
      </c>
      <c r="F61" s="568">
        <f t="shared" si="16"/>
        <v>1132289100</v>
      </c>
      <c r="G61" s="560">
        <f t="shared" si="16"/>
        <v>0</v>
      </c>
      <c r="H61" s="561">
        <f t="shared" si="16"/>
        <v>0</v>
      </c>
      <c r="I61" s="558">
        <f t="shared" si="16"/>
        <v>0</v>
      </c>
      <c r="J61" s="568">
        <f t="shared" si="16"/>
        <v>0</v>
      </c>
      <c r="K61" s="560">
        <v>0</v>
      </c>
      <c r="L61" s="561"/>
      <c r="M61" s="562">
        <f t="shared" si="8"/>
        <v>1080936000</v>
      </c>
      <c r="N61" s="563">
        <f t="shared" si="9"/>
        <v>1070381689</v>
      </c>
      <c r="O61" s="564">
        <f t="shared" si="10"/>
        <v>1492603000</v>
      </c>
      <c r="P61" s="569">
        <f t="shared" si="11"/>
        <v>1132289100</v>
      </c>
    </row>
    <row r="62" spans="1:17" ht="12.75" customHeight="1" x14ac:dyDescent="0.25">
      <c r="A62" s="636"/>
      <c r="B62" s="707" t="s">
        <v>239</v>
      </c>
      <c r="C62" s="560">
        <v>1080936000</v>
      </c>
      <c r="D62" s="561">
        <v>1070381689</v>
      </c>
      <c r="E62" s="558">
        <f>'3-10 önálló int.be-ki.'!EM29</f>
        <v>1492603000</v>
      </c>
      <c r="F62" s="568">
        <v>1132289100</v>
      </c>
      <c r="G62" s="560">
        <v>0</v>
      </c>
      <c r="H62" s="561"/>
      <c r="I62" s="558"/>
      <c r="J62" s="568"/>
      <c r="K62" s="560">
        <v>0</v>
      </c>
      <c r="L62" s="561"/>
      <c r="M62" s="562">
        <f t="shared" si="8"/>
        <v>1080936000</v>
      </c>
      <c r="N62" s="563">
        <f t="shared" si="9"/>
        <v>1070381689</v>
      </c>
      <c r="O62" s="564">
        <f t="shared" si="10"/>
        <v>1492603000</v>
      </c>
      <c r="P62" s="569">
        <f t="shared" si="11"/>
        <v>1132289100</v>
      </c>
    </row>
    <row r="63" spans="1:17" ht="12.75" customHeight="1" x14ac:dyDescent="0.25">
      <c r="A63" s="642"/>
      <c r="B63" s="707" t="s">
        <v>238</v>
      </c>
      <c r="C63" s="560">
        <v>0</v>
      </c>
      <c r="D63" s="561">
        <v>0</v>
      </c>
      <c r="E63" s="558">
        <v>0</v>
      </c>
      <c r="F63" s="568"/>
      <c r="G63" s="560">
        <v>0</v>
      </c>
      <c r="H63" s="566"/>
      <c r="I63" s="643"/>
      <c r="J63" s="567"/>
      <c r="K63" s="560">
        <v>0</v>
      </c>
      <c r="L63" s="566"/>
      <c r="M63" s="562">
        <f t="shared" si="8"/>
        <v>0</v>
      </c>
      <c r="N63" s="563">
        <f t="shared" si="9"/>
        <v>0</v>
      </c>
      <c r="O63" s="564">
        <f t="shared" si="10"/>
        <v>0</v>
      </c>
      <c r="P63" s="569">
        <f t="shared" si="11"/>
        <v>0</v>
      </c>
    </row>
    <row r="64" spans="1:17" ht="12.75" customHeight="1" x14ac:dyDescent="0.25">
      <c r="A64" s="636" t="s">
        <v>19</v>
      </c>
      <c r="B64" s="707" t="s">
        <v>119</v>
      </c>
      <c r="C64" s="560">
        <v>0</v>
      </c>
      <c r="D64" s="561">
        <v>0</v>
      </c>
      <c r="E64" s="558">
        <v>0</v>
      </c>
      <c r="F64" s="568"/>
      <c r="G64" s="560">
        <v>0</v>
      </c>
      <c r="H64" s="561"/>
      <c r="I64" s="558"/>
      <c r="J64" s="568"/>
      <c r="K64" s="560">
        <v>0</v>
      </c>
      <c r="L64" s="561"/>
      <c r="M64" s="562">
        <f t="shared" si="8"/>
        <v>0</v>
      </c>
      <c r="N64" s="563">
        <f t="shared" si="9"/>
        <v>0</v>
      </c>
      <c r="O64" s="564">
        <f t="shared" si="10"/>
        <v>0</v>
      </c>
      <c r="P64" s="569">
        <f t="shared" si="11"/>
        <v>0</v>
      </c>
    </row>
    <row r="65" spans="1:17" s="596" customFormat="1" ht="12.75" customHeight="1" x14ac:dyDescent="0.2">
      <c r="A65" s="601" t="s">
        <v>20</v>
      </c>
      <c r="B65" s="709" t="s">
        <v>120</v>
      </c>
      <c r="C65" s="614">
        <f>+C58+C59+C60+C61</f>
        <v>1174605000</v>
      </c>
      <c r="D65" s="604">
        <f t="shared" ref="D65:L65" si="17">+D58+D59+D60+D61</f>
        <v>1448995831</v>
      </c>
      <c r="E65" s="605">
        <f t="shared" si="17"/>
        <v>1871217142</v>
      </c>
      <c r="F65" s="805">
        <f t="shared" si="17"/>
        <v>1510903242</v>
      </c>
      <c r="G65" s="614">
        <f t="shared" si="17"/>
        <v>0</v>
      </c>
      <c r="H65" s="604">
        <f t="shared" si="17"/>
        <v>0</v>
      </c>
      <c r="I65" s="605">
        <f t="shared" si="17"/>
        <v>0</v>
      </c>
      <c r="J65" s="805">
        <f t="shared" si="17"/>
        <v>0</v>
      </c>
      <c r="K65" s="614">
        <f t="shared" si="17"/>
        <v>0</v>
      </c>
      <c r="L65" s="604">
        <f t="shared" si="17"/>
        <v>0</v>
      </c>
      <c r="M65" s="603">
        <f t="shared" si="8"/>
        <v>1174605000</v>
      </c>
      <c r="N65" s="604">
        <f t="shared" si="9"/>
        <v>1448995831</v>
      </c>
      <c r="O65" s="605">
        <f t="shared" si="10"/>
        <v>1871217142</v>
      </c>
      <c r="P65" s="805">
        <f t="shared" si="11"/>
        <v>1510903242</v>
      </c>
      <c r="Q65" s="600"/>
    </row>
    <row r="66" spans="1:17" s="596" customFormat="1" ht="12.75" customHeight="1" x14ac:dyDescent="0.2">
      <c r="A66" s="615" t="s">
        <v>21</v>
      </c>
      <c r="B66" s="711" t="s">
        <v>121</v>
      </c>
      <c r="C66" s="616">
        <f t="shared" ref="C66:K66" si="18">C57+C65</f>
        <v>3887651000</v>
      </c>
      <c r="D66" s="617">
        <f t="shared" si="18"/>
        <v>3589245010</v>
      </c>
      <c r="E66" s="618">
        <f t="shared" si="18"/>
        <v>3733327320</v>
      </c>
      <c r="F66" s="806">
        <f t="shared" si="18"/>
        <v>3865450005</v>
      </c>
      <c r="G66" s="616">
        <f t="shared" si="18"/>
        <v>99856000</v>
      </c>
      <c r="H66" s="617">
        <f t="shared" si="18"/>
        <v>98379608</v>
      </c>
      <c r="I66" s="618">
        <f t="shared" si="18"/>
        <v>25420608</v>
      </c>
      <c r="J66" s="806">
        <f t="shared" si="18"/>
        <v>88561708</v>
      </c>
      <c r="K66" s="616">
        <f t="shared" si="18"/>
        <v>0</v>
      </c>
      <c r="L66" s="617"/>
      <c r="M66" s="619">
        <f t="shared" si="8"/>
        <v>3987507000</v>
      </c>
      <c r="N66" s="617">
        <f t="shared" si="9"/>
        <v>3687624618</v>
      </c>
      <c r="O66" s="618">
        <f t="shared" si="10"/>
        <v>3758747928</v>
      </c>
      <c r="P66" s="806">
        <f t="shared" si="11"/>
        <v>3954011713</v>
      </c>
    </row>
    <row r="67" spans="1:17" ht="12.75" customHeight="1" x14ac:dyDescent="0.25">
      <c r="A67" s="636"/>
      <c r="B67" s="715"/>
      <c r="C67" s="560"/>
      <c r="D67" s="561"/>
      <c r="E67" s="558"/>
      <c r="F67" s="568"/>
      <c r="G67" s="560"/>
      <c r="H67" s="561"/>
      <c r="I67" s="558"/>
      <c r="J67" s="568"/>
      <c r="K67" s="560"/>
      <c r="L67" s="561"/>
      <c r="M67" s="644"/>
      <c r="N67" s="645"/>
      <c r="O67" s="646"/>
      <c r="P67" s="812"/>
    </row>
    <row r="68" spans="1:17" ht="12.75" customHeight="1" x14ac:dyDescent="0.25">
      <c r="A68" s="636"/>
      <c r="B68" s="716"/>
      <c r="C68" s="565"/>
      <c r="D68" s="563"/>
      <c r="E68" s="564"/>
      <c r="F68" s="569"/>
      <c r="G68" s="565"/>
      <c r="H68" s="563"/>
      <c r="I68" s="564"/>
      <c r="J68" s="569"/>
      <c r="K68" s="565"/>
      <c r="L68" s="563"/>
      <c r="M68" s="644"/>
      <c r="N68" s="645"/>
      <c r="O68" s="646"/>
      <c r="P68" s="812"/>
    </row>
    <row r="69" spans="1:17" ht="12.75" customHeight="1" x14ac:dyDescent="0.25">
      <c r="A69" s="638"/>
      <c r="B69" s="717"/>
      <c r="C69" s="560"/>
      <c r="D69" s="561"/>
      <c r="E69" s="558"/>
      <c r="F69" s="568"/>
      <c r="G69" s="560"/>
      <c r="H69" s="561"/>
      <c r="I69" s="558"/>
      <c r="J69" s="817"/>
      <c r="K69" s="647"/>
      <c r="L69" s="648"/>
      <c r="M69" s="568"/>
      <c r="N69" s="561"/>
      <c r="O69" s="558"/>
      <c r="P69" s="568"/>
    </row>
    <row r="70" spans="1:17" x14ac:dyDescent="0.25">
      <c r="A70" s="649"/>
      <c r="B70" s="718"/>
      <c r="C70" s="650"/>
      <c r="D70" s="651"/>
      <c r="E70" s="652"/>
      <c r="F70" s="653"/>
      <c r="G70" s="650"/>
      <c r="H70" s="651"/>
      <c r="I70" s="652"/>
      <c r="J70" s="819">
        <f>+J66+F66</f>
        <v>3954011713</v>
      </c>
      <c r="K70" s="650"/>
      <c r="L70" s="651"/>
      <c r="M70" s="653"/>
      <c r="N70" s="651"/>
      <c r="O70" s="652"/>
      <c r="P70" s="653">
        <f>+P66-P34</f>
        <v>0</v>
      </c>
    </row>
    <row r="71" spans="1:17" x14ac:dyDescent="0.25">
      <c r="A71" s="649"/>
      <c r="B71" s="719"/>
      <c r="C71" s="654"/>
      <c r="D71" s="655"/>
      <c r="E71" s="656"/>
      <c r="F71" s="808"/>
      <c r="J71" s="818">
        <f>+J70-J38</f>
        <v>0</v>
      </c>
      <c r="O71" s="689"/>
    </row>
    <row r="72" spans="1:17" x14ac:dyDescent="0.25">
      <c r="A72" s="649"/>
      <c r="B72" s="719"/>
      <c r="C72" s="654"/>
      <c r="D72" s="655"/>
      <c r="E72" s="656"/>
      <c r="F72" s="808"/>
      <c r="J72" s="818"/>
      <c r="O72" s="689"/>
    </row>
    <row r="73" spans="1:17" ht="30" customHeight="1" x14ac:dyDescent="0.25">
      <c r="A73" s="657"/>
      <c r="B73" s="720"/>
      <c r="C73" s="658"/>
      <c r="D73" s="659"/>
      <c r="E73" s="660"/>
      <c r="F73" s="661"/>
      <c r="G73" s="662"/>
      <c r="H73" s="663"/>
      <c r="I73" s="664"/>
      <c r="J73" s="672"/>
      <c r="K73" s="662"/>
      <c r="L73" s="663"/>
    </row>
    <row r="74" spans="1:17" x14ac:dyDescent="0.25">
      <c r="A74" s="657"/>
      <c r="B74" s="721"/>
      <c r="C74" s="666"/>
      <c r="D74" s="667"/>
      <c r="E74" s="668"/>
      <c r="F74" s="809"/>
      <c r="G74" s="662"/>
      <c r="H74" s="663"/>
      <c r="I74" s="664"/>
      <c r="J74" s="665"/>
      <c r="K74" s="662"/>
      <c r="L74" s="663"/>
    </row>
    <row r="75" spans="1:17" x14ac:dyDescent="0.25">
      <c r="A75" s="657"/>
      <c r="B75" s="720"/>
      <c r="C75" s="669"/>
      <c r="D75" s="670"/>
      <c r="E75" s="671"/>
      <c r="F75" s="672"/>
      <c r="G75" s="662"/>
      <c r="H75" s="663"/>
      <c r="I75" s="664"/>
      <c r="J75" s="665"/>
      <c r="K75" s="662"/>
      <c r="L75" s="663"/>
    </row>
    <row r="76" spans="1:17" x14ac:dyDescent="0.25">
      <c r="A76" s="657"/>
      <c r="B76" s="720"/>
      <c r="C76" s="669"/>
      <c r="D76" s="670"/>
      <c r="E76" s="671"/>
      <c r="F76" s="672"/>
      <c r="G76" s="662"/>
      <c r="H76" s="663"/>
      <c r="I76" s="664"/>
      <c r="J76" s="665"/>
      <c r="K76" s="662"/>
      <c r="L76" s="663"/>
    </row>
    <row r="77" spans="1:17" x14ac:dyDescent="0.25">
      <c r="A77" s="649"/>
      <c r="B77" s="718"/>
      <c r="C77" s="673"/>
      <c r="D77" s="674"/>
      <c r="E77" s="675"/>
      <c r="F77" s="676"/>
    </row>
  </sheetData>
  <mergeCells count="3">
    <mergeCell ref="L1:P2"/>
    <mergeCell ref="C1:H1"/>
    <mergeCell ref="C2:H2"/>
  </mergeCells>
  <phoneticPr fontId="3" type="noConversion"/>
  <pageMargins left="0.15748031496062992" right="0.11811023622047245" top="0.19685039370078741" bottom="2.204724409448819" header="0.23622047244094491" footer="0.23622047244094491"/>
  <pageSetup paperSize="9" scale="7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EP193"/>
  <sheetViews>
    <sheetView view="pageBreakPreview" topLeftCell="CX1" zoomScale="85" zoomScaleNormal="100" zoomScaleSheetLayoutView="85" workbookViewId="0">
      <pane ySplit="4" topLeftCell="A5" activePane="bottomLeft" state="frozen"/>
      <selection activeCell="D1" sqref="D1"/>
      <selection pane="bottomLeft" activeCell="BL63" sqref="BL63"/>
    </sheetView>
  </sheetViews>
  <sheetFormatPr defaultRowHeight="15" x14ac:dyDescent="0.25"/>
  <cols>
    <col min="1" max="1" width="5.28515625" style="570" customWidth="1"/>
    <col min="2" max="2" width="50" style="744" bestFit="1" customWidth="1"/>
    <col min="3" max="3" width="10.5703125" customWidth="1"/>
    <col min="4" max="5" width="10.5703125" style="181" hidden="1" customWidth="1"/>
    <col min="6" max="6" width="10.5703125" style="181" customWidth="1"/>
    <col min="7" max="7" width="10" customWidth="1"/>
    <col min="8" max="8" width="11.28515625" style="181" hidden="1" customWidth="1"/>
    <col min="9" max="9" width="11.140625" style="181" hidden="1" customWidth="1"/>
    <col min="10" max="10" width="11.28515625" customWidth="1"/>
    <col min="11" max="11" width="9.7109375" style="181" customWidth="1"/>
    <col min="12" max="12" width="8.85546875" style="181"/>
    <col min="13" max="13" width="10.28515625" customWidth="1"/>
    <col min="14" max="15" width="13" style="181" hidden="1" customWidth="1"/>
    <col min="16" max="16" width="13" style="181" customWidth="1"/>
    <col min="17" max="17" width="5.28515625" style="570" customWidth="1"/>
    <col min="18" max="18" width="39.7109375" style="744" customWidth="1"/>
    <col min="19" max="19" width="10.5703125" customWidth="1"/>
    <col min="20" max="21" width="10.5703125" style="181" hidden="1" customWidth="1"/>
    <col min="22" max="22" width="11.140625" customWidth="1"/>
    <col min="23" max="23" width="10" style="181" customWidth="1"/>
    <col min="24" max="25" width="10" style="181" hidden="1" customWidth="1"/>
    <col min="26" max="26" width="10" style="181" customWidth="1"/>
    <col min="28" max="28" width="10.28515625" customWidth="1"/>
    <col min="29" max="29" width="11.140625" style="181" bestFit="1" customWidth="1"/>
    <col min="30" max="30" width="9.28515625" style="181" hidden="1" customWidth="1"/>
    <col min="31" max="31" width="9.28515625" hidden="1" customWidth="1"/>
    <col min="32" max="32" width="9.28515625" style="181" customWidth="1"/>
    <col min="33" max="33" width="5.28515625" style="570" customWidth="1"/>
    <col min="34" max="34" width="39.7109375" style="181" customWidth="1"/>
    <col min="35" max="35" width="10.5703125" customWidth="1"/>
    <col min="36" max="37" width="10.5703125" style="181" hidden="1" customWidth="1"/>
    <col min="38" max="38" width="10.5703125" style="181" customWidth="1"/>
    <col min="39" max="39" width="10" customWidth="1"/>
    <col min="40" max="41" width="10" style="181" hidden="1" customWidth="1"/>
    <col min="42" max="42" width="10" style="181" customWidth="1"/>
    <col min="44" max="44" width="8.85546875" style="181"/>
    <col min="45" max="45" width="10.28515625" customWidth="1"/>
    <col min="46" max="47" width="10.28515625" style="181" hidden="1" customWidth="1"/>
    <col min="48" max="48" width="10.28515625" style="181" customWidth="1"/>
    <col min="49" max="49" width="5.28515625" style="570" customWidth="1"/>
    <col min="50" max="50" width="39.7109375" style="181" customWidth="1"/>
    <col min="51" max="51" width="10.5703125" customWidth="1"/>
    <col min="52" max="53" width="10.5703125" style="181" hidden="1" customWidth="1"/>
    <col min="54" max="54" width="10.5703125" style="181" customWidth="1"/>
    <col min="55" max="55" width="10" customWidth="1"/>
    <col min="56" max="57" width="10" style="181" hidden="1" customWidth="1"/>
    <col min="58" max="58" width="10" style="181" customWidth="1"/>
    <col min="60" max="60" width="8.85546875" style="181"/>
    <col min="61" max="61" width="10.28515625" customWidth="1"/>
    <col min="62" max="63" width="11.140625" style="181" hidden="1" customWidth="1"/>
    <col min="64" max="64" width="11.140625" style="181" customWidth="1"/>
    <col min="65" max="65" width="5.28515625" style="570" customWidth="1"/>
    <col min="66" max="66" width="39.7109375" style="181" customWidth="1"/>
    <col min="67" max="67" width="10.5703125" customWidth="1"/>
    <col min="68" max="69" width="10.5703125" style="181" hidden="1" customWidth="1"/>
    <col min="70" max="70" width="10.5703125" style="181" customWidth="1"/>
    <col min="71" max="71" width="10" customWidth="1"/>
    <col min="72" max="73" width="10" style="181" hidden="1" customWidth="1"/>
    <col min="74" max="74" width="11.42578125" style="181" customWidth="1"/>
    <col min="76" max="76" width="8.85546875" style="181"/>
    <col min="77" max="77" width="10.28515625" customWidth="1"/>
    <col min="78" max="79" width="10.28515625" style="181" hidden="1" customWidth="1"/>
    <col min="80" max="80" width="10.28515625" style="181" customWidth="1"/>
    <col min="81" max="81" width="5.28515625" style="570" customWidth="1"/>
    <col min="82" max="82" width="39.7109375" style="181" customWidth="1"/>
    <col min="83" max="83" width="10.5703125" customWidth="1"/>
    <col min="84" max="85" width="10.5703125" style="181" hidden="1" customWidth="1"/>
    <col min="86" max="86" width="10.5703125" style="181" customWidth="1"/>
    <col min="87" max="87" width="10" customWidth="1"/>
    <col min="88" max="89" width="10" style="181" hidden="1" customWidth="1"/>
    <col min="90" max="90" width="10" style="181" customWidth="1"/>
    <col min="92" max="92" width="8.85546875" style="181"/>
    <col min="93" max="93" width="10.28515625" customWidth="1"/>
    <col min="94" max="95" width="10.28515625" style="181" hidden="1" customWidth="1"/>
    <col min="96" max="96" width="10.28515625" style="181" customWidth="1"/>
    <col min="97" max="97" width="5.28515625" style="570" customWidth="1"/>
    <col min="98" max="98" width="39.7109375" style="181" customWidth="1"/>
    <col min="99" max="99" width="10.5703125" customWidth="1"/>
    <col min="100" max="101" width="10.5703125" style="181" hidden="1" customWidth="1"/>
    <col min="102" max="102" width="10.5703125" style="181" customWidth="1"/>
    <col min="103" max="103" width="10" customWidth="1"/>
    <col min="104" max="105" width="10" style="181" hidden="1" customWidth="1"/>
    <col min="106" max="106" width="11" style="181" customWidth="1"/>
    <col min="108" max="108" width="8.85546875" style="181"/>
    <col min="109" max="109" width="12" customWidth="1"/>
    <col min="110" max="111" width="12" style="181" hidden="1" customWidth="1"/>
    <col min="112" max="112" width="12" style="181" customWidth="1"/>
    <col min="113" max="113" width="5.28515625" style="570" customWidth="1"/>
    <col min="114" max="114" width="39.7109375" style="181" customWidth="1"/>
    <col min="115" max="115" width="10.5703125" style="181" customWidth="1"/>
    <col min="116" max="117" width="10.5703125" style="181" hidden="1" customWidth="1"/>
    <col min="118" max="118" width="10.5703125" style="181" customWidth="1"/>
    <col min="119" max="119" width="10" style="181" customWidth="1"/>
    <col min="120" max="121" width="10" style="181" hidden="1" customWidth="1"/>
    <col min="122" max="122" width="10" style="181" customWidth="1"/>
    <col min="123" max="123" width="8.7109375" style="181"/>
    <col min="124" max="124" width="8.85546875" style="181"/>
    <col min="125" max="125" width="12" style="181" customWidth="1"/>
    <col min="126" max="126" width="12.85546875" style="181" hidden="1" customWidth="1"/>
    <col min="127" max="127" width="11" style="181" hidden="1" customWidth="1"/>
    <col min="128" max="128" width="11.140625" style="181" customWidth="1"/>
    <col min="129" max="129" width="5.28515625" style="570" customWidth="1"/>
    <col min="130" max="130" width="39.7109375" style="181" customWidth="1"/>
    <col min="131" max="131" width="12.7109375" bestFit="1" customWidth="1"/>
    <col min="132" max="133" width="12.7109375" style="181" bestFit="1" customWidth="1"/>
    <col min="134" max="134" width="12.85546875" style="181" customWidth="1"/>
    <col min="135" max="135" width="11.5703125" customWidth="1"/>
    <col min="136" max="138" width="11.5703125" style="181" customWidth="1"/>
    <col min="139" max="139" width="12.42578125" customWidth="1"/>
    <col min="140" max="140" width="12.42578125" style="181" customWidth="1"/>
    <col min="141" max="141" width="13.85546875" customWidth="1"/>
    <col min="142" max="142" width="13.85546875" style="181" customWidth="1"/>
    <col min="143" max="143" width="13.85546875" customWidth="1"/>
    <col min="144" max="144" width="15" customWidth="1"/>
  </cols>
  <sheetData>
    <row r="1" spans="1:146" s="9" customFormat="1" ht="33" customHeight="1" x14ac:dyDescent="0.25">
      <c r="A1" s="570"/>
      <c r="B1" s="724" t="s">
        <v>520</v>
      </c>
      <c r="C1" s="876" t="s">
        <v>126</v>
      </c>
      <c r="D1" s="876"/>
      <c r="E1" s="876"/>
      <c r="F1" s="876"/>
      <c r="G1" s="876"/>
      <c r="H1" s="876"/>
      <c r="I1" s="876"/>
      <c r="J1" s="182"/>
      <c r="K1" s="873" t="s">
        <v>495</v>
      </c>
      <c r="L1" s="873"/>
      <c r="M1" s="873"/>
      <c r="N1" s="873"/>
      <c r="O1" s="873"/>
      <c r="P1" s="873"/>
      <c r="Q1" s="570"/>
      <c r="R1" s="724" t="s">
        <v>521</v>
      </c>
      <c r="S1" s="876" t="s">
        <v>127</v>
      </c>
      <c r="T1" s="876"/>
      <c r="U1" s="876"/>
      <c r="V1" s="876"/>
      <c r="W1" s="876"/>
      <c r="X1" s="876"/>
      <c r="Y1" s="876"/>
      <c r="Z1" s="876"/>
      <c r="AA1" s="873" t="s">
        <v>496</v>
      </c>
      <c r="AB1" s="873"/>
      <c r="AC1" s="873"/>
      <c r="AD1" s="873"/>
      <c r="AE1" s="873"/>
      <c r="AF1" s="873"/>
      <c r="AG1" s="570"/>
      <c r="AH1" s="551" t="s">
        <v>522</v>
      </c>
      <c r="AI1" s="876" t="s">
        <v>206</v>
      </c>
      <c r="AJ1" s="876"/>
      <c r="AK1" s="876"/>
      <c r="AL1" s="876"/>
      <c r="AM1" s="876"/>
      <c r="AN1" s="876"/>
      <c r="AO1" s="876"/>
      <c r="AP1" s="876"/>
      <c r="AQ1" s="873" t="s">
        <v>497</v>
      </c>
      <c r="AR1" s="873"/>
      <c r="AS1" s="873"/>
      <c r="AT1" s="873"/>
      <c r="AU1" s="873"/>
      <c r="AV1" s="873"/>
      <c r="AW1" s="570"/>
      <c r="AX1" s="551" t="s">
        <v>523</v>
      </c>
      <c r="AY1" s="876" t="s">
        <v>128</v>
      </c>
      <c r="AZ1" s="876"/>
      <c r="BA1" s="876"/>
      <c r="BB1" s="876"/>
      <c r="BC1" s="876"/>
      <c r="BD1" s="876"/>
      <c r="BE1" s="876"/>
      <c r="BF1" s="876"/>
      <c r="BG1" s="873" t="s">
        <v>498</v>
      </c>
      <c r="BH1" s="873"/>
      <c r="BI1" s="873"/>
      <c r="BJ1" s="873"/>
      <c r="BK1" s="873"/>
      <c r="BL1" s="873"/>
      <c r="BM1" s="570"/>
      <c r="BN1" s="551" t="s">
        <v>525</v>
      </c>
      <c r="BO1" s="876" t="s">
        <v>129</v>
      </c>
      <c r="BP1" s="876"/>
      <c r="BQ1" s="876"/>
      <c r="BR1" s="876"/>
      <c r="BS1" s="876"/>
      <c r="BT1" s="876"/>
      <c r="BU1" s="876"/>
      <c r="BV1" s="876"/>
      <c r="BW1" s="873" t="s">
        <v>499</v>
      </c>
      <c r="BX1" s="873"/>
      <c r="BY1" s="873"/>
      <c r="BZ1" s="873"/>
      <c r="CA1" s="873"/>
      <c r="CB1" s="873"/>
      <c r="CC1" s="570"/>
      <c r="CD1" s="551" t="s">
        <v>524</v>
      </c>
      <c r="CE1" s="876" t="s">
        <v>130</v>
      </c>
      <c r="CF1" s="876"/>
      <c r="CG1" s="876"/>
      <c r="CH1" s="876"/>
      <c r="CI1" s="876"/>
      <c r="CJ1" s="876"/>
      <c r="CK1" s="876"/>
      <c r="CL1" s="876"/>
      <c r="CM1" s="873" t="s">
        <v>500</v>
      </c>
      <c r="CN1" s="873"/>
      <c r="CO1" s="873"/>
      <c r="CP1" s="873"/>
      <c r="CQ1" s="873"/>
      <c r="CR1" s="873"/>
      <c r="CS1" s="570"/>
      <c r="CT1" s="551" t="s">
        <v>526</v>
      </c>
      <c r="CU1" s="876" t="s">
        <v>44</v>
      </c>
      <c r="CV1" s="876"/>
      <c r="CW1" s="876"/>
      <c r="CX1" s="876"/>
      <c r="CY1" s="876"/>
      <c r="CZ1" s="876"/>
      <c r="DA1" s="876"/>
      <c r="DB1" s="876"/>
      <c r="DC1" s="873" t="s">
        <v>501</v>
      </c>
      <c r="DD1" s="873"/>
      <c r="DE1" s="873"/>
      <c r="DF1" s="873"/>
      <c r="DG1" s="873"/>
      <c r="DH1" s="873"/>
      <c r="DI1" s="570"/>
      <c r="DJ1" s="551" t="s">
        <v>519</v>
      </c>
      <c r="DK1" s="876" t="s">
        <v>352</v>
      </c>
      <c r="DL1" s="876"/>
      <c r="DM1" s="876"/>
      <c r="DN1" s="876"/>
      <c r="DO1" s="876"/>
      <c r="DP1" s="876"/>
      <c r="DQ1" s="876"/>
      <c r="DR1" s="876"/>
      <c r="DS1" s="873" t="s">
        <v>588</v>
      </c>
      <c r="DT1" s="873"/>
      <c r="DU1" s="873"/>
      <c r="DV1" s="873"/>
      <c r="DW1" s="873"/>
      <c r="DX1" s="873"/>
      <c r="DY1" s="889"/>
      <c r="DZ1" s="890"/>
      <c r="EA1" s="890"/>
      <c r="EB1" s="890"/>
      <c r="EC1" s="890"/>
      <c r="ED1" s="890"/>
      <c r="EE1" s="890"/>
      <c r="EF1" s="890"/>
      <c r="EG1" s="890"/>
      <c r="EH1" s="890"/>
      <c r="EI1" s="890"/>
      <c r="EJ1" s="890"/>
      <c r="EK1" s="890"/>
      <c r="EL1" s="544"/>
      <c r="EM1" s="887"/>
      <c r="EN1" s="888"/>
    </row>
    <row r="2" spans="1:146" ht="23.25" customHeight="1" x14ac:dyDescent="0.25">
      <c r="B2" s="722"/>
      <c r="C2" s="877" t="s">
        <v>332</v>
      </c>
      <c r="D2" s="877"/>
      <c r="E2" s="877"/>
      <c r="F2" s="877"/>
      <c r="G2" s="877"/>
      <c r="H2" s="877"/>
      <c r="I2" s="877"/>
      <c r="J2" s="183"/>
      <c r="K2" s="183"/>
      <c r="L2" s="183"/>
      <c r="M2" s="183"/>
      <c r="N2" s="547"/>
      <c r="O2" s="343"/>
      <c r="P2" s="790"/>
      <c r="R2" s="722"/>
      <c r="S2" s="877" t="s">
        <v>332</v>
      </c>
      <c r="T2" s="877"/>
      <c r="U2" s="877"/>
      <c r="V2" s="877"/>
      <c r="W2" s="877"/>
      <c r="X2" s="877"/>
      <c r="Y2" s="877"/>
      <c r="Z2" s="877"/>
      <c r="AA2" s="183"/>
      <c r="AB2" s="183"/>
      <c r="AC2" s="343"/>
      <c r="AH2" s="183"/>
      <c r="AI2" s="877" t="s">
        <v>332</v>
      </c>
      <c r="AJ2" s="877"/>
      <c r="AK2" s="877"/>
      <c r="AL2" s="877"/>
      <c r="AM2" s="877"/>
      <c r="AN2" s="877"/>
      <c r="AO2" s="877"/>
      <c r="AP2" s="877"/>
      <c r="AQ2" s="183"/>
      <c r="AR2" s="183"/>
      <c r="AS2" s="183"/>
      <c r="AT2" s="547"/>
      <c r="AU2" s="343"/>
      <c r="AV2" s="790"/>
      <c r="AX2" s="183"/>
      <c r="AY2" s="877" t="s">
        <v>332</v>
      </c>
      <c r="AZ2" s="877"/>
      <c r="BA2" s="877"/>
      <c r="BB2" s="877"/>
      <c r="BC2" s="877"/>
      <c r="BD2" s="877"/>
      <c r="BE2" s="877"/>
      <c r="BF2" s="877"/>
      <c r="BG2" s="183"/>
      <c r="BH2" s="183"/>
      <c r="BI2" s="183"/>
      <c r="BJ2" s="547"/>
      <c r="BK2" s="343"/>
      <c r="BL2" s="790"/>
      <c r="BN2" s="183"/>
      <c r="BO2" s="877" t="s">
        <v>332</v>
      </c>
      <c r="BP2" s="877"/>
      <c r="BQ2" s="877"/>
      <c r="BR2" s="877"/>
      <c r="BS2" s="877"/>
      <c r="BT2" s="877"/>
      <c r="BU2" s="877"/>
      <c r="BV2" s="877"/>
      <c r="BW2" s="183"/>
      <c r="BX2" s="183"/>
      <c r="BY2" s="183"/>
      <c r="BZ2" s="547"/>
      <c r="CA2" s="343"/>
      <c r="CB2" s="790"/>
      <c r="CD2" s="183"/>
      <c r="CE2" s="877" t="s">
        <v>332</v>
      </c>
      <c r="CF2" s="877"/>
      <c r="CG2" s="877"/>
      <c r="CH2" s="877"/>
      <c r="CI2" s="877"/>
      <c r="CJ2" s="877"/>
      <c r="CK2" s="877"/>
      <c r="CL2" s="877"/>
      <c r="CM2" s="183"/>
      <c r="CN2" s="183"/>
      <c r="CO2" s="183"/>
      <c r="CP2" s="547"/>
      <c r="CQ2" s="349"/>
      <c r="CR2" s="790"/>
      <c r="CT2" s="183"/>
      <c r="CU2" s="872" t="s">
        <v>332</v>
      </c>
      <c r="CV2" s="872"/>
      <c r="CW2" s="872"/>
      <c r="CX2" s="872"/>
      <c r="CY2" s="872"/>
      <c r="CZ2" s="872"/>
      <c r="DA2" s="872"/>
      <c r="DB2" s="872"/>
      <c r="DC2" s="183"/>
      <c r="DD2" s="183"/>
      <c r="DE2" s="183"/>
      <c r="DF2" s="547"/>
      <c r="DG2" s="349"/>
      <c r="DH2" s="790"/>
      <c r="DJ2" s="183"/>
      <c r="DK2" s="877" t="s">
        <v>332</v>
      </c>
      <c r="DL2" s="877"/>
      <c r="DM2" s="877"/>
      <c r="DN2" s="877"/>
      <c r="DO2" s="877"/>
      <c r="DP2" s="877"/>
      <c r="DQ2" s="877"/>
      <c r="DR2" s="877"/>
      <c r="DS2" s="183"/>
      <c r="DT2" s="183"/>
      <c r="DU2" s="183"/>
      <c r="DV2" s="547"/>
      <c r="DW2" s="349"/>
      <c r="DX2" s="790"/>
      <c r="DY2" s="891"/>
      <c r="DZ2" s="884"/>
      <c r="EA2" s="884"/>
      <c r="EB2" s="884"/>
      <c r="EC2" s="884"/>
      <c r="ED2" s="884"/>
      <c r="EE2" s="884"/>
      <c r="EF2" s="884"/>
      <c r="EG2" s="884"/>
      <c r="EH2" s="884"/>
      <c r="EI2" s="884"/>
      <c r="EJ2" s="884"/>
      <c r="EK2" s="884"/>
      <c r="EL2" s="545"/>
      <c r="EM2" s="888"/>
      <c r="EN2" s="888"/>
    </row>
    <row r="3" spans="1:146" x14ac:dyDescent="0.25">
      <c r="A3" s="575"/>
      <c r="B3" s="725" t="s">
        <v>43</v>
      </c>
      <c r="C3" s="97"/>
      <c r="D3" s="526"/>
      <c r="E3" s="348"/>
      <c r="F3" s="526"/>
      <c r="G3" s="51"/>
      <c r="H3" s="51"/>
      <c r="I3" s="51"/>
      <c r="J3" s="878" t="s">
        <v>400</v>
      </c>
      <c r="K3" s="878"/>
      <c r="L3" s="878"/>
      <c r="M3" s="879"/>
      <c r="N3" s="546"/>
      <c r="O3" s="345"/>
      <c r="P3" s="789"/>
      <c r="Q3" s="575"/>
      <c r="R3" s="725" t="s">
        <v>43</v>
      </c>
      <c r="S3" s="98"/>
      <c r="T3" s="526"/>
      <c r="U3" s="348"/>
      <c r="V3" s="51"/>
      <c r="W3" s="51"/>
      <c r="X3" s="51"/>
      <c r="Y3" s="51"/>
      <c r="Z3" s="51"/>
      <c r="AA3" s="878" t="s">
        <v>400</v>
      </c>
      <c r="AB3" s="879"/>
      <c r="AC3" s="345"/>
      <c r="AD3" s="75"/>
      <c r="AE3" s="75"/>
      <c r="AF3" s="75"/>
      <c r="AG3" s="575"/>
      <c r="AH3" s="548" t="s">
        <v>43</v>
      </c>
      <c r="AI3" s="129"/>
      <c r="AJ3" s="535"/>
      <c r="AK3" s="348"/>
      <c r="AL3" s="535"/>
      <c r="AM3" s="51"/>
      <c r="AN3" s="51"/>
      <c r="AO3" s="51"/>
      <c r="AP3" s="51"/>
      <c r="AQ3" s="878" t="s">
        <v>33</v>
      </c>
      <c r="AR3" s="878"/>
      <c r="AS3" s="879"/>
      <c r="AT3" s="546"/>
      <c r="AU3" s="345"/>
      <c r="AV3" s="789"/>
      <c r="AW3" s="575"/>
      <c r="AX3" s="548" t="s">
        <v>43</v>
      </c>
      <c r="AY3" s="98"/>
      <c r="AZ3" s="348"/>
      <c r="BA3" s="535"/>
      <c r="BB3" s="535"/>
      <c r="BC3" s="51"/>
      <c r="BD3" s="51"/>
      <c r="BE3" s="51"/>
      <c r="BF3" s="51"/>
      <c r="BG3" s="878" t="s">
        <v>400</v>
      </c>
      <c r="BH3" s="878"/>
      <c r="BI3" s="879"/>
      <c r="BJ3" s="546"/>
      <c r="BK3" s="345"/>
      <c r="BL3" s="789"/>
      <c r="BM3" s="575"/>
      <c r="BN3" s="548" t="s">
        <v>43</v>
      </c>
      <c r="BO3" s="98"/>
      <c r="BP3" s="550"/>
      <c r="BQ3" s="348"/>
      <c r="BR3" s="550"/>
      <c r="BS3" s="51"/>
      <c r="BT3" s="51"/>
      <c r="BU3" s="51"/>
      <c r="BV3" s="51"/>
      <c r="BW3" s="878" t="s">
        <v>400</v>
      </c>
      <c r="BX3" s="878"/>
      <c r="BY3" s="879"/>
      <c r="BZ3" s="546"/>
      <c r="CA3" s="345"/>
      <c r="CB3" s="789"/>
      <c r="CC3" s="575"/>
      <c r="CD3" s="548" t="s">
        <v>43</v>
      </c>
      <c r="CE3" s="98"/>
      <c r="CF3" s="550"/>
      <c r="CG3" s="550"/>
      <c r="CH3" s="348"/>
      <c r="CI3" s="51"/>
      <c r="CJ3" s="51"/>
      <c r="CK3" s="51"/>
      <c r="CL3" s="51"/>
      <c r="CM3" s="878" t="s">
        <v>400</v>
      </c>
      <c r="CN3" s="878"/>
      <c r="CO3" s="879"/>
      <c r="CP3" s="546"/>
      <c r="CQ3" s="350"/>
      <c r="CR3" s="789"/>
      <c r="CS3" s="575"/>
      <c r="CT3" s="548" t="s">
        <v>43</v>
      </c>
      <c r="CU3" s="98"/>
      <c r="CV3" s="550"/>
      <c r="CW3" s="550"/>
      <c r="CX3" s="351"/>
      <c r="CY3" s="51"/>
      <c r="CZ3" s="51"/>
      <c r="DA3" s="51"/>
      <c r="DB3" s="51"/>
      <c r="DC3" s="878" t="s">
        <v>400</v>
      </c>
      <c r="DD3" s="878"/>
      <c r="DE3" s="879"/>
      <c r="DF3" s="546"/>
      <c r="DG3" s="350"/>
      <c r="DH3" s="789"/>
      <c r="DI3" s="575"/>
      <c r="DJ3" s="548" t="s">
        <v>43</v>
      </c>
      <c r="DK3" s="236"/>
      <c r="DL3" s="550"/>
      <c r="DM3" s="550"/>
      <c r="DN3" s="351"/>
      <c r="DO3" s="51"/>
      <c r="DP3" s="51"/>
      <c r="DQ3" s="51"/>
      <c r="DR3" s="51"/>
      <c r="DS3" s="878" t="s">
        <v>400</v>
      </c>
      <c r="DT3" s="878"/>
      <c r="DU3" s="879"/>
      <c r="DV3" s="546"/>
      <c r="DW3" s="350"/>
      <c r="DX3" s="789"/>
      <c r="DY3" s="575"/>
      <c r="DZ3" s="548" t="s">
        <v>43</v>
      </c>
      <c r="EA3" s="583"/>
      <c r="EB3" s="584"/>
      <c r="EC3" s="585"/>
      <c r="ED3" s="586"/>
      <c r="EE3" s="583"/>
      <c r="EF3" s="587"/>
      <c r="EG3" s="588"/>
      <c r="EH3" s="589"/>
      <c r="EI3" s="583"/>
      <c r="EJ3" s="587"/>
      <c r="EK3" s="589"/>
      <c r="EL3" s="587"/>
      <c r="EM3" s="588"/>
    </row>
    <row r="4" spans="1:146" s="89" customFormat="1" ht="64.5" customHeight="1" x14ac:dyDescent="0.25">
      <c r="A4" s="589" t="s">
        <v>31</v>
      </c>
      <c r="B4" s="297" t="s">
        <v>32</v>
      </c>
      <c r="C4" s="368" t="s">
        <v>418</v>
      </c>
      <c r="D4" s="242" t="s">
        <v>537</v>
      </c>
      <c r="E4" s="368" t="s">
        <v>538</v>
      </c>
      <c r="F4" s="368" t="s">
        <v>539</v>
      </c>
      <c r="G4" s="368" t="s">
        <v>419</v>
      </c>
      <c r="H4" s="587" t="s">
        <v>543</v>
      </c>
      <c r="I4" s="588" t="s">
        <v>544</v>
      </c>
      <c r="J4" s="589" t="s">
        <v>545</v>
      </c>
      <c r="K4" s="583" t="s">
        <v>420</v>
      </c>
      <c r="L4" s="368" t="s">
        <v>424</v>
      </c>
      <c r="M4" s="368" t="s">
        <v>421</v>
      </c>
      <c r="N4" s="587" t="s">
        <v>541</v>
      </c>
      <c r="O4" s="588" t="s">
        <v>542</v>
      </c>
      <c r="P4" s="588" t="s">
        <v>587</v>
      </c>
      <c r="Q4" s="589" t="s">
        <v>31</v>
      </c>
      <c r="R4" s="297" t="s">
        <v>32</v>
      </c>
      <c r="S4" s="242" t="s">
        <v>418</v>
      </c>
      <c r="T4" s="242" t="s">
        <v>537</v>
      </c>
      <c r="U4" s="368" t="s">
        <v>538</v>
      </c>
      <c r="V4" s="368" t="s">
        <v>539</v>
      </c>
      <c r="W4" s="368" t="s">
        <v>419</v>
      </c>
      <c r="X4" s="587" t="s">
        <v>543</v>
      </c>
      <c r="Y4" s="588" t="s">
        <v>544</v>
      </c>
      <c r="Z4" s="589" t="s">
        <v>545</v>
      </c>
      <c r="AA4" s="583" t="s">
        <v>420</v>
      </c>
      <c r="AB4" s="368" t="s">
        <v>424</v>
      </c>
      <c r="AC4" s="368" t="s">
        <v>421</v>
      </c>
      <c r="AD4" s="587" t="s">
        <v>541</v>
      </c>
      <c r="AE4" s="588" t="s">
        <v>542</v>
      </c>
      <c r="AF4" s="588" t="s">
        <v>587</v>
      </c>
      <c r="AG4" s="589" t="s">
        <v>31</v>
      </c>
      <c r="AH4" s="131" t="s">
        <v>32</v>
      </c>
      <c r="AI4" s="242" t="s">
        <v>418</v>
      </c>
      <c r="AJ4" s="242" t="s">
        <v>537</v>
      </c>
      <c r="AK4" s="368" t="s">
        <v>538</v>
      </c>
      <c r="AL4" s="368" t="s">
        <v>539</v>
      </c>
      <c r="AM4" s="368" t="s">
        <v>419</v>
      </c>
      <c r="AN4" s="587" t="s">
        <v>543</v>
      </c>
      <c r="AO4" s="588" t="s">
        <v>544</v>
      </c>
      <c r="AP4" s="589" t="s">
        <v>545</v>
      </c>
      <c r="AQ4" s="583" t="s">
        <v>420</v>
      </c>
      <c r="AR4" s="368" t="s">
        <v>424</v>
      </c>
      <c r="AS4" s="368" t="s">
        <v>421</v>
      </c>
      <c r="AT4" s="587" t="s">
        <v>541</v>
      </c>
      <c r="AU4" s="588" t="s">
        <v>542</v>
      </c>
      <c r="AV4" s="588" t="s">
        <v>587</v>
      </c>
      <c r="AW4" s="589" t="s">
        <v>31</v>
      </c>
      <c r="AX4" s="131" t="s">
        <v>32</v>
      </c>
      <c r="AY4" s="242" t="s">
        <v>418</v>
      </c>
      <c r="AZ4" s="242" t="s">
        <v>537</v>
      </c>
      <c r="BA4" s="368" t="s">
        <v>538</v>
      </c>
      <c r="BB4" s="368" t="s">
        <v>539</v>
      </c>
      <c r="BC4" s="368" t="s">
        <v>419</v>
      </c>
      <c r="BD4" s="587" t="s">
        <v>543</v>
      </c>
      <c r="BE4" s="588" t="s">
        <v>544</v>
      </c>
      <c r="BF4" s="589" t="s">
        <v>545</v>
      </c>
      <c r="BG4" s="583" t="s">
        <v>420</v>
      </c>
      <c r="BH4" s="368" t="s">
        <v>424</v>
      </c>
      <c r="BI4" s="368" t="s">
        <v>421</v>
      </c>
      <c r="BJ4" s="587" t="s">
        <v>541</v>
      </c>
      <c r="BK4" s="588" t="s">
        <v>542</v>
      </c>
      <c r="BL4" s="588" t="s">
        <v>587</v>
      </c>
      <c r="BM4" s="589" t="s">
        <v>31</v>
      </c>
      <c r="BN4" s="131" t="s">
        <v>32</v>
      </c>
      <c r="BO4" s="242" t="s">
        <v>418</v>
      </c>
      <c r="BP4" s="242" t="s">
        <v>537</v>
      </c>
      <c r="BQ4" s="368" t="s">
        <v>538</v>
      </c>
      <c r="BR4" s="368" t="s">
        <v>539</v>
      </c>
      <c r="BS4" s="368" t="s">
        <v>419</v>
      </c>
      <c r="BT4" s="587" t="s">
        <v>543</v>
      </c>
      <c r="BU4" s="588" t="s">
        <v>544</v>
      </c>
      <c r="BV4" s="589" t="s">
        <v>545</v>
      </c>
      <c r="BW4" s="583" t="s">
        <v>420</v>
      </c>
      <c r="BX4" s="368" t="s">
        <v>424</v>
      </c>
      <c r="BY4" s="368" t="s">
        <v>421</v>
      </c>
      <c r="BZ4" s="587" t="s">
        <v>541</v>
      </c>
      <c r="CA4" s="588" t="s">
        <v>542</v>
      </c>
      <c r="CB4" s="588" t="s">
        <v>587</v>
      </c>
      <c r="CC4" s="589" t="s">
        <v>31</v>
      </c>
      <c r="CD4" s="131" t="s">
        <v>32</v>
      </c>
      <c r="CE4" s="242" t="s">
        <v>418</v>
      </c>
      <c r="CF4" s="242" t="s">
        <v>537</v>
      </c>
      <c r="CG4" s="368" t="s">
        <v>538</v>
      </c>
      <c r="CH4" s="368" t="s">
        <v>539</v>
      </c>
      <c r="CI4" s="368" t="s">
        <v>419</v>
      </c>
      <c r="CJ4" s="587" t="s">
        <v>543</v>
      </c>
      <c r="CK4" s="588" t="s">
        <v>544</v>
      </c>
      <c r="CL4" s="589" t="s">
        <v>545</v>
      </c>
      <c r="CM4" s="583" t="s">
        <v>420</v>
      </c>
      <c r="CN4" s="368" t="s">
        <v>424</v>
      </c>
      <c r="CO4" s="368" t="s">
        <v>421</v>
      </c>
      <c r="CP4" s="587" t="s">
        <v>541</v>
      </c>
      <c r="CQ4" s="588" t="s">
        <v>542</v>
      </c>
      <c r="CR4" s="588" t="s">
        <v>587</v>
      </c>
      <c r="CS4" s="589" t="s">
        <v>31</v>
      </c>
      <c r="CT4" s="131" t="s">
        <v>32</v>
      </c>
      <c r="CU4" s="242" t="s">
        <v>418</v>
      </c>
      <c r="CV4" s="242" t="s">
        <v>537</v>
      </c>
      <c r="CW4" s="368" t="s">
        <v>538</v>
      </c>
      <c r="CX4" s="368" t="s">
        <v>539</v>
      </c>
      <c r="CY4" s="368" t="s">
        <v>419</v>
      </c>
      <c r="CZ4" s="587" t="s">
        <v>543</v>
      </c>
      <c r="DA4" s="588" t="s">
        <v>544</v>
      </c>
      <c r="DB4" s="589" t="s">
        <v>545</v>
      </c>
      <c r="DC4" s="583" t="s">
        <v>420</v>
      </c>
      <c r="DD4" s="368" t="s">
        <v>424</v>
      </c>
      <c r="DE4" s="368" t="s">
        <v>421</v>
      </c>
      <c r="DF4" s="587" t="s">
        <v>541</v>
      </c>
      <c r="DG4" s="588" t="s">
        <v>542</v>
      </c>
      <c r="DH4" s="588" t="s">
        <v>587</v>
      </c>
      <c r="DI4" s="589" t="s">
        <v>31</v>
      </c>
      <c r="DJ4" s="131" t="s">
        <v>32</v>
      </c>
      <c r="DK4" s="242" t="s">
        <v>418</v>
      </c>
      <c r="DL4" s="242" t="s">
        <v>537</v>
      </c>
      <c r="DM4" s="368" t="s">
        <v>538</v>
      </c>
      <c r="DN4" s="368" t="s">
        <v>539</v>
      </c>
      <c r="DO4" s="368" t="s">
        <v>419</v>
      </c>
      <c r="DP4" s="587" t="s">
        <v>543</v>
      </c>
      <c r="DQ4" s="588" t="s">
        <v>544</v>
      </c>
      <c r="DR4" s="589" t="s">
        <v>545</v>
      </c>
      <c r="DS4" s="583" t="s">
        <v>420</v>
      </c>
      <c r="DT4" s="368" t="s">
        <v>424</v>
      </c>
      <c r="DU4" s="368" t="s">
        <v>421</v>
      </c>
      <c r="DV4" s="587" t="s">
        <v>541</v>
      </c>
      <c r="DW4" s="588" t="s">
        <v>542</v>
      </c>
      <c r="DX4" s="588" t="s">
        <v>587</v>
      </c>
      <c r="DY4" s="589" t="s">
        <v>31</v>
      </c>
      <c r="DZ4" s="131" t="s">
        <v>32</v>
      </c>
      <c r="EA4" s="583" t="s">
        <v>418</v>
      </c>
      <c r="EB4" s="242" t="s">
        <v>537</v>
      </c>
      <c r="EC4" s="368" t="s">
        <v>538</v>
      </c>
      <c r="ED4" s="368" t="s">
        <v>539</v>
      </c>
      <c r="EE4" s="368" t="s">
        <v>419</v>
      </c>
      <c r="EF4" s="587" t="s">
        <v>543</v>
      </c>
      <c r="EG4" s="588" t="s">
        <v>544</v>
      </c>
      <c r="EH4" s="589" t="s">
        <v>545</v>
      </c>
      <c r="EI4" s="583" t="s">
        <v>420</v>
      </c>
      <c r="EJ4" s="368" t="s">
        <v>424</v>
      </c>
      <c r="EK4" s="368" t="s">
        <v>421</v>
      </c>
      <c r="EL4" s="587" t="s">
        <v>541</v>
      </c>
      <c r="EM4" s="588" t="s">
        <v>542</v>
      </c>
      <c r="EN4" s="589" t="s">
        <v>545</v>
      </c>
      <c r="EO4" s="40"/>
      <c r="EP4" s="40"/>
    </row>
    <row r="5" spans="1:146" ht="15" customHeight="1" x14ac:dyDescent="0.25">
      <c r="A5" s="590" t="s">
        <v>12</v>
      </c>
      <c r="B5" s="726" t="s">
        <v>79</v>
      </c>
      <c r="C5" s="370">
        <v>0</v>
      </c>
      <c r="D5" s="144">
        <v>0</v>
      </c>
      <c r="E5" s="370">
        <v>0</v>
      </c>
      <c r="F5" s="370">
        <v>0</v>
      </c>
      <c r="G5" s="370">
        <v>0</v>
      </c>
      <c r="H5" s="370">
        <v>0</v>
      </c>
      <c r="I5" s="370">
        <v>0</v>
      </c>
      <c r="J5" s="370">
        <v>0</v>
      </c>
      <c r="K5" s="370">
        <v>0</v>
      </c>
      <c r="L5" s="370">
        <v>0</v>
      </c>
      <c r="M5" s="168">
        <f>C5+G5+K5</f>
        <v>0</v>
      </c>
      <c r="N5" s="168">
        <f t="shared" ref="N5:O6" si="0">D5+H5+L5</f>
        <v>0</v>
      </c>
      <c r="O5" s="168">
        <f t="shared" si="0"/>
        <v>0</v>
      </c>
      <c r="P5" s="168">
        <f t="shared" ref="P5:P28" si="1">F5+J5+L5</f>
        <v>0</v>
      </c>
      <c r="Q5" s="590" t="s">
        <v>12</v>
      </c>
      <c r="R5" s="726" t="s">
        <v>79</v>
      </c>
      <c r="S5" s="52">
        <v>0</v>
      </c>
      <c r="T5" s="144">
        <v>0</v>
      </c>
      <c r="U5" s="144">
        <v>0</v>
      </c>
      <c r="V5" s="52">
        <v>0</v>
      </c>
      <c r="W5" s="370">
        <v>0</v>
      </c>
      <c r="X5" s="144">
        <v>0</v>
      </c>
      <c r="Y5" s="144">
        <v>0</v>
      </c>
      <c r="Z5" s="144">
        <v>0</v>
      </c>
      <c r="AA5" s="52">
        <v>0</v>
      </c>
      <c r="AB5" s="144">
        <v>0</v>
      </c>
      <c r="AC5" s="17">
        <f>S5+W5+AA5</f>
        <v>0</v>
      </c>
      <c r="AD5" s="139">
        <f>T5+X5+AB5</f>
        <v>0</v>
      </c>
      <c r="AE5" s="139">
        <f>U5+Y5+AB5</f>
        <v>0</v>
      </c>
      <c r="AF5" s="139">
        <f>V5+Z5+AB5</f>
        <v>0</v>
      </c>
      <c r="AG5" s="590" t="s">
        <v>12</v>
      </c>
      <c r="AH5" s="591" t="s">
        <v>79</v>
      </c>
      <c r="AI5" s="52">
        <v>0</v>
      </c>
      <c r="AJ5" s="144">
        <v>0</v>
      </c>
      <c r="AK5" s="144">
        <v>0</v>
      </c>
      <c r="AL5" s="144">
        <v>0</v>
      </c>
      <c r="AM5" s="52">
        <v>0</v>
      </c>
      <c r="AN5" s="144">
        <v>0</v>
      </c>
      <c r="AO5" s="144">
        <v>0</v>
      </c>
      <c r="AP5" s="144">
        <v>0</v>
      </c>
      <c r="AQ5" s="52">
        <v>0</v>
      </c>
      <c r="AR5" s="144">
        <v>0</v>
      </c>
      <c r="AS5" s="17">
        <f t="shared" ref="AS5:AS34" si="2">AI5+AM5+AQ5</f>
        <v>0</v>
      </c>
      <c r="AT5" s="139">
        <f t="shared" ref="AT5:AT34" si="3">AJ5+AN5+AR5</f>
        <v>0</v>
      </c>
      <c r="AU5" s="139">
        <f t="shared" ref="AU5:AU34" si="4">AK5+AO5+AR5</f>
        <v>0</v>
      </c>
      <c r="AV5" s="139">
        <f>AL5+AP5+AR5</f>
        <v>0</v>
      </c>
      <c r="AW5" s="590" t="s">
        <v>12</v>
      </c>
      <c r="AX5" s="591" t="s">
        <v>79</v>
      </c>
      <c r="AY5" s="52">
        <v>0</v>
      </c>
      <c r="AZ5" s="144">
        <v>0</v>
      </c>
      <c r="BA5" s="144">
        <v>0</v>
      </c>
      <c r="BB5" s="144">
        <v>0</v>
      </c>
      <c r="BC5" s="52">
        <v>0</v>
      </c>
      <c r="BD5" s="144">
        <v>0</v>
      </c>
      <c r="BE5" s="144">
        <v>0</v>
      </c>
      <c r="BF5" s="144">
        <v>0</v>
      </c>
      <c r="BG5" s="52">
        <v>0</v>
      </c>
      <c r="BH5" s="144">
        <v>0</v>
      </c>
      <c r="BI5" s="17">
        <f t="shared" ref="BI5:BI34" si="5">AY5+BC5+BG5</f>
        <v>0</v>
      </c>
      <c r="BJ5" s="139">
        <f t="shared" ref="BJ5:BJ34" si="6">AZ5+BD5+BH5</f>
        <v>0</v>
      </c>
      <c r="BK5" s="139">
        <f t="shared" ref="BK5:BK34" si="7">BA5+BE5+BH5</f>
        <v>0</v>
      </c>
      <c r="BL5" s="139">
        <f>BB5+BF5+BH5</f>
        <v>0</v>
      </c>
      <c r="BM5" s="590" t="s">
        <v>12</v>
      </c>
      <c r="BN5" s="591" t="s">
        <v>79</v>
      </c>
      <c r="BO5" s="52">
        <v>0</v>
      </c>
      <c r="BP5" s="144">
        <v>0</v>
      </c>
      <c r="BQ5" s="144">
        <v>0</v>
      </c>
      <c r="BR5" s="144">
        <v>0</v>
      </c>
      <c r="BS5" s="52">
        <v>0</v>
      </c>
      <c r="BT5" s="144">
        <v>0</v>
      </c>
      <c r="BU5" s="144">
        <v>0</v>
      </c>
      <c r="BV5" s="144">
        <v>0</v>
      </c>
      <c r="BW5" s="52">
        <v>0</v>
      </c>
      <c r="BX5" s="144">
        <v>0</v>
      </c>
      <c r="BY5" s="17">
        <f t="shared" ref="BY5:BY34" si="8">BO5+BS5+BW5</f>
        <v>0</v>
      </c>
      <c r="BZ5" s="139">
        <f t="shared" ref="BZ5:BZ34" si="9">BP5+BT5+BX5</f>
        <v>0</v>
      </c>
      <c r="CA5" s="139">
        <f>BQ5+BU5+BX5</f>
        <v>0</v>
      </c>
      <c r="CB5" s="139">
        <f>BR5+BV5+BX5</f>
        <v>0</v>
      </c>
      <c r="CC5" s="590" t="s">
        <v>12</v>
      </c>
      <c r="CD5" s="591" t="s">
        <v>79</v>
      </c>
      <c r="CE5" s="52">
        <v>0</v>
      </c>
      <c r="CF5" s="144">
        <v>0</v>
      </c>
      <c r="CG5" s="144">
        <v>0</v>
      </c>
      <c r="CH5" s="144">
        <v>0</v>
      </c>
      <c r="CI5" s="52">
        <v>0</v>
      </c>
      <c r="CJ5" s="144">
        <v>0</v>
      </c>
      <c r="CK5" s="144">
        <v>0</v>
      </c>
      <c r="CL5" s="144">
        <v>0</v>
      </c>
      <c r="CM5" s="17">
        <v>0</v>
      </c>
      <c r="CN5" s="139">
        <v>0</v>
      </c>
      <c r="CO5" s="17">
        <f t="shared" ref="CO5:CO34" si="10">CE5+CI5+CM5</f>
        <v>0</v>
      </c>
      <c r="CP5" s="139">
        <f t="shared" ref="CP5:CP34" si="11">CF5+CJ5+CN5</f>
        <v>0</v>
      </c>
      <c r="CQ5" s="139">
        <f t="shared" ref="CQ5:CQ34" si="12">CG5+CK5+CN5</f>
        <v>0</v>
      </c>
      <c r="CR5" s="139">
        <f>CH5+CL5+CN5</f>
        <v>0</v>
      </c>
      <c r="CS5" s="590" t="s">
        <v>12</v>
      </c>
      <c r="CT5" s="591" t="s">
        <v>79</v>
      </c>
      <c r="CU5" s="144">
        <v>0</v>
      </c>
      <c r="CV5" s="144">
        <v>0</v>
      </c>
      <c r="CW5" s="144">
        <v>0</v>
      </c>
      <c r="CX5" s="144">
        <v>0</v>
      </c>
      <c r="CY5" s="144">
        <v>0</v>
      </c>
      <c r="CZ5" s="144">
        <v>0</v>
      </c>
      <c r="DA5" s="144">
        <v>0</v>
      </c>
      <c r="DB5" s="144">
        <v>0</v>
      </c>
      <c r="DC5" s="144">
        <v>0</v>
      </c>
      <c r="DD5" s="144">
        <v>0</v>
      </c>
      <c r="DE5" s="139">
        <f t="shared" ref="DE5:DE34" si="13">CU5+CY5+DC5</f>
        <v>0</v>
      </c>
      <c r="DF5" s="139">
        <f t="shared" ref="DF5:DF34" si="14">CV5+CZ5+DD5</f>
        <v>0</v>
      </c>
      <c r="DG5" s="139">
        <f t="shared" ref="DG5:DG34" si="15">CW5+DA5+DD5</f>
        <v>0</v>
      </c>
      <c r="DH5" s="139">
        <f>CX5+DB5+DD5</f>
        <v>0</v>
      </c>
      <c r="DI5" s="590" t="s">
        <v>12</v>
      </c>
      <c r="DJ5" s="591" t="s">
        <v>79</v>
      </c>
      <c r="DK5" s="144">
        <v>0</v>
      </c>
      <c r="DL5" s="144">
        <v>0</v>
      </c>
      <c r="DM5" s="144">
        <v>0</v>
      </c>
      <c r="DN5" s="144">
        <v>0</v>
      </c>
      <c r="DO5" s="144">
        <v>0</v>
      </c>
      <c r="DP5" s="144">
        <v>0</v>
      </c>
      <c r="DQ5" s="144">
        <v>0</v>
      </c>
      <c r="DR5" s="144">
        <v>0</v>
      </c>
      <c r="DS5" s="144">
        <v>0</v>
      </c>
      <c r="DT5" s="144">
        <v>0</v>
      </c>
      <c r="DU5" s="139">
        <f t="shared" ref="DU5:DU34" si="16">DK5+DO5+DS5</f>
        <v>0</v>
      </c>
      <c r="DV5" s="139">
        <f t="shared" ref="DV5:DV34" si="17">DL5+DP5+DT5</f>
        <v>0</v>
      </c>
      <c r="DW5" s="139">
        <f t="shared" ref="DW5:DW34" si="18">DM5+DQ5+DT5</f>
        <v>0</v>
      </c>
      <c r="DX5" s="139">
        <f>DN5+DR5+DT5</f>
        <v>0</v>
      </c>
      <c r="DY5" s="590" t="s">
        <v>12</v>
      </c>
      <c r="DZ5" s="591" t="s">
        <v>79</v>
      </c>
      <c r="EA5" s="96">
        <f>+CU5+CE5+BO5+AY5+AI5+S5+C5+DK5</f>
        <v>0</v>
      </c>
      <c r="EB5" s="96">
        <f t="shared" ref="EB5:EB34" si="19">+CV5+CF5+BP5+AZ5+AJ5+T5+D5+DL5</f>
        <v>0</v>
      </c>
      <c r="EC5" s="96">
        <f t="shared" ref="EC5:EC34" si="20">+CW5+CG5+BQ5+BA5+AK5+U5+E5+DM5</f>
        <v>0</v>
      </c>
      <c r="ED5" s="96">
        <f t="shared" ref="ED5:ED34" si="21">+CX5+CH5+BR5+BB5+AL5+V5+F5+DN5</f>
        <v>0</v>
      </c>
      <c r="EE5" s="96">
        <f t="shared" ref="EE5:EE34" si="22">+CY5+CI5+BS5+BC5+AM5+W5+G5+DO5</f>
        <v>0</v>
      </c>
      <c r="EF5" s="96">
        <f t="shared" ref="EF5:EF34" si="23">+CZ5+CJ5+BT5+BD5+AN5+X5+H5+DP5</f>
        <v>0</v>
      </c>
      <c r="EG5" s="96">
        <f t="shared" ref="EG5:EG34" si="24">+DA5+CK5+BU5+BE5+AO5+Y5+I5+DQ5</f>
        <v>0</v>
      </c>
      <c r="EH5" s="96">
        <f t="shared" ref="EH5:EH34" si="25">+DB5+CL5+BV5+BF5+AP5+Z5+J5+DR5</f>
        <v>0</v>
      </c>
      <c r="EI5" s="96">
        <f t="shared" ref="EI5:EI34" si="26">+DC5+CM5+BW5+BG5+AQ5+AA5+K5+DS5</f>
        <v>0</v>
      </c>
      <c r="EJ5" s="96">
        <f t="shared" ref="EJ5:EJ34" si="27">+DD5+CN5+BX5+BH5+AR5+AB5+L5+DT5</f>
        <v>0</v>
      </c>
      <c r="EK5" s="96">
        <f t="shared" ref="EK5:EK34" si="28">+DE5+CO5+BY5+BI5+AS5+AC5+M5+DU5</f>
        <v>0</v>
      </c>
      <c r="EL5" s="96">
        <f t="shared" ref="EL5:EL34" si="29">+DF5+CP5+BZ5+BJ5+AT5+AD5+N5+DV5</f>
        <v>0</v>
      </c>
      <c r="EM5" s="96">
        <f t="shared" ref="EM5:EM34" si="30">+DG5+CQ5+CA5+BK5+AU5+AE5+O5+DW5</f>
        <v>0</v>
      </c>
      <c r="EN5" s="96">
        <f t="shared" ref="EN5:EN34" si="31">+DH5+CR5+CB5+BL5+AV5+AF5+P5+DX5</f>
        <v>0</v>
      </c>
      <c r="EO5" s="44"/>
      <c r="EP5" s="44"/>
    </row>
    <row r="6" spans="1:146" ht="21" customHeight="1" x14ac:dyDescent="0.25">
      <c r="A6" s="590" t="s">
        <v>13</v>
      </c>
      <c r="B6" s="726" t="s">
        <v>176</v>
      </c>
      <c r="C6" s="370">
        <v>0</v>
      </c>
      <c r="D6" s="144">
        <v>0</v>
      </c>
      <c r="E6" s="370">
        <v>0</v>
      </c>
      <c r="F6" s="370">
        <v>0</v>
      </c>
      <c r="G6" s="370">
        <v>0</v>
      </c>
      <c r="H6" s="370">
        <v>0</v>
      </c>
      <c r="I6" s="370">
        <v>0</v>
      </c>
      <c r="J6" s="370">
        <v>0</v>
      </c>
      <c r="K6" s="370">
        <v>0</v>
      </c>
      <c r="L6" s="370">
        <v>0</v>
      </c>
      <c r="M6" s="168">
        <f t="shared" ref="M6:M34" si="32">C6+G6+K6</f>
        <v>0</v>
      </c>
      <c r="N6" s="168">
        <f t="shared" si="0"/>
        <v>0</v>
      </c>
      <c r="O6" s="168">
        <f t="shared" si="0"/>
        <v>0</v>
      </c>
      <c r="P6" s="168">
        <f t="shared" si="1"/>
        <v>0</v>
      </c>
      <c r="Q6" s="590" t="s">
        <v>13</v>
      </c>
      <c r="R6" s="726" t="s">
        <v>176</v>
      </c>
      <c r="S6" s="52">
        <v>0</v>
      </c>
      <c r="T6" s="144">
        <v>0</v>
      </c>
      <c r="U6" s="144">
        <v>0</v>
      </c>
      <c r="V6" s="52">
        <v>0</v>
      </c>
      <c r="W6" s="370">
        <v>0</v>
      </c>
      <c r="X6" s="144">
        <v>0</v>
      </c>
      <c r="Y6" s="144">
        <v>0</v>
      </c>
      <c r="Z6" s="144">
        <v>0</v>
      </c>
      <c r="AA6" s="52">
        <v>0</v>
      </c>
      <c r="AB6" s="144">
        <v>0</v>
      </c>
      <c r="AC6" s="17">
        <f t="shared" ref="AC6:AC34" si="33">S6+W6+AA6</f>
        <v>0</v>
      </c>
      <c r="AD6" s="139">
        <f t="shared" ref="AD6:AD34" si="34">T6+X6+AB6</f>
        <v>0</v>
      </c>
      <c r="AE6" s="139">
        <f t="shared" ref="AE6:AE34" si="35">U6+Y6+AB6</f>
        <v>0</v>
      </c>
      <c r="AF6" s="139">
        <f t="shared" ref="AF6:AF34" si="36">V6+Z6+AB6</f>
        <v>0</v>
      </c>
      <c r="AG6" s="590" t="s">
        <v>13</v>
      </c>
      <c r="AH6" s="591" t="s">
        <v>176</v>
      </c>
      <c r="AI6" s="52">
        <v>0</v>
      </c>
      <c r="AJ6" s="144">
        <v>0</v>
      </c>
      <c r="AK6" s="144">
        <v>0</v>
      </c>
      <c r="AL6" s="144">
        <v>0</v>
      </c>
      <c r="AM6" s="52">
        <v>0</v>
      </c>
      <c r="AN6" s="144">
        <v>0</v>
      </c>
      <c r="AO6" s="144">
        <v>0</v>
      </c>
      <c r="AP6" s="144">
        <v>0</v>
      </c>
      <c r="AQ6" s="52">
        <v>0</v>
      </c>
      <c r="AR6" s="144">
        <v>0</v>
      </c>
      <c r="AS6" s="17">
        <f t="shared" si="2"/>
        <v>0</v>
      </c>
      <c r="AT6" s="139">
        <f t="shared" si="3"/>
        <v>0</v>
      </c>
      <c r="AU6" s="139">
        <f t="shared" si="4"/>
        <v>0</v>
      </c>
      <c r="AV6" s="139">
        <f t="shared" ref="AV6:AV34" si="37">AL6+AP6+AR6</f>
        <v>0</v>
      </c>
      <c r="AW6" s="590" t="s">
        <v>13</v>
      </c>
      <c r="AX6" s="591" t="s">
        <v>176</v>
      </c>
      <c r="AY6" s="52">
        <v>0</v>
      </c>
      <c r="AZ6" s="144">
        <v>0</v>
      </c>
      <c r="BA6" s="144">
        <v>0</v>
      </c>
      <c r="BB6" s="144">
        <v>0</v>
      </c>
      <c r="BC6" s="52">
        <v>0</v>
      </c>
      <c r="BD6" s="144">
        <v>0</v>
      </c>
      <c r="BE6" s="144">
        <v>0</v>
      </c>
      <c r="BF6" s="144">
        <v>0</v>
      </c>
      <c r="BG6" s="52">
        <v>0</v>
      </c>
      <c r="BH6" s="144">
        <v>0</v>
      </c>
      <c r="BI6" s="17">
        <f t="shared" si="5"/>
        <v>0</v>
      </c>
      <c r="BJ6" s="139">
        <f t="shared" si="6"/>
        <v>0</v>
      </c>
      <c r="BK6" s="139">
        <f t="shared" si="7"/>
        <v>0</v>
      </c>
      <c r="BL6" s="139">
        <f t="shared" ref="BL6:BL34" si="38">BB6+BF6+BH6</f>
        <v>0</v>
      </c>
      <c r="BM6" s="590" t="s">
        <v>13</v>
      </c>
      <c r="BN6" s="591" t="s">
        <v>176</v>
      </c>
      <c r="BO6" s="52">
        <v>0</v>
      </c>
      <c r="BP6" s="144">
        <v>0</v>
      </c>
      <c r="BQ6" s="144">
        <v>0</v>
      </c>
      <c r="BR6" s="144">
        <v>0</v>
      </c>
      <c r="BS6" s="52">
        <v>0</v>
      </c>
      <c r="BT6" s="144">
        <v>0</v>
      </c>
      <c r="BU6" s="144">
        <v>0</v>
      </c>
      <c r="BV6" s="144">
        <v>0</v>
      </c>
      <c r="BW6" s="52">
        <v>0</v>
      </c>
      <c r="BX6" s="144">
        <v>0</v>
      </c>
      <c r="BY6" s="17">
        <f t="shared" si="8"/>
        <v>0</v>
      </c>
      <c r="BZ6" s="139">
        <f t="shared" si="9"/>
        <v>0</v>
      </c>
      <c r="CA6" s="139">
        <f>BQ6+BU6+BX6</f>
        <v>0</v>
      </c>
      <c r="CB6" s="139">
        <f t="shared" ref="CB6:CB34" si="39">BR6+BV6+BX6</f>
        <v>0</v>
      </c>
      <c r="CC6" s="590" t="s">
        <v>13</v>
      </c>
      <c r="CD6" s="591" t="s">
        <v>176</v>
      </c>
      <c r="CE6" s="52">
        <v>4000000</v>
      </c>
      <c r="CF6" s="144">
        <v>4000000</v>
      </c>
      <c r="CG6" s="144">
        <v>2345000</v>
      </c>
      <c r="CH6" s="144">
        <v>4000000</v>
      </c>
      <c r="CI6" s="52">
        <v>0</v>
      </c>
      <c r="CJ6" s="144">
        <v>0</v>
      </c>
      <c r="CK6" s="144">
        <v>0</v>
      </c>
      <c r="CL6" s="144">
        <v>0</v>
      </c>
      <c r="CM6" s="52">
        <v>0</v>
      </c>
      <c r="CN6" s="144">
        <v>0</v>
      </c>
      <c r="CO6" s="17">
        <f t="shared" si="10"/>
        <v>4000000</v>
      </c>
      <c r="CP6" s="139">
        <f t="shared" si="11"/>
        <v>4000000</v>
      </c>
      <c r="CQ6" s="139">
        <f t="shared" si="12"/>
        <v>2345000</v>
      </c>
      <c r="CR6" s="139">
        <f t="shared" ref="CR6:CR34" si="40">CH6+CL6+CN6</f>
        <v>4000000</v>
      </c>
      <c r="CS6" s="590" t="s">
        <v>13</v>
      </c>
      <c r="CT6" s="591" t="s">
        <v>176</v>
      </c>
      <c r="CU6" s="144">
        <v>0</v>
      </c>
      <c r="CV6" s="144">
        <v>0</v>
      </c>
      <c r="CW6" s="144">
        <v>0</v>
      </c>
      <c r="CX6" s="144">
        <v>0</v>
      </c>
      <c r="CY6" s="144">
        <v>0</v>
      </c>
      <c r="CZ6" s="144">
        <v>0</v>
      </c>
      <c r="DA6" s="144">
        <v>0</v>
      </c>
      <c r="DB6" s="144">
        <v>0</v>
      </c>
      <c r="DC6" s="144">
        <v>0</v>
      </c>
      <c r="DD6" s="144">
        <v>0</v>
      </c>
      <c r="DE6" s="139">
        <f t="shared" si="13"/>
        <v>0</v>
      </c>
      <c r="DF6" s="139">
        <f t="shared" si="14"/>
        <v>0</v>
      </c>
      <c r="DG6" s="139">
        <f t="shared" si="15"/>
        <v>0</v>
      </c>
      <c r="DH6" s="139">
        <f t="shared" ref="DH6:DH34" si="41">CX6+DB6+DD6</f>
        <v>0</v>
      </c>
      <c r="DI6" s="590" t="s">
        <v>13</v>
      </c>
      <c r="DJ6" s="591" t="s">
        <v>176</v>
      </c>
      <c r="DK6" s="144">
        <v>0</v>
      </c>
      <c r="DL6" s="144">
        <v>0</v>
      </c>
      <c r="DM6" s="144">
        <v>4507900</v>
      </c>
      <c r="DN6" s="144">
        <v>16000000</v>
      </c>
      <c r="DO6" s="144">
        <v>0</v>
      </c>
      <c r="DP6" s="144">
        <v>0</v>
      </c>
      <c r="DQ6" s="144">
        <v>0</v>
      </c>
      <c r="DR6" s="144">
        <v>0</v>
      </c>
      <c r="DS6" s="144">
        <v>0</v>
      </c>
      <c r="DT6" s="144">
        <v>0</v>
      </c>
      <c r="DU6" s="139">
        <f t="shared" si="16"/>
        <v>0</v>
      </c>
      <c r="DV6" s="139">
        <f t="shared" si="17"/>
        <v>0</v>
      </c>
      <c r="DW6" s="139">
        <f t="shared" si="18"/>
        <v>4507900</v>
      </c>
      <c r="DX6" s="139">
        <f t="shared" ref="DX6:DX34" si="42">DN6+DR6+DT6</f>
        <v>16000000</v>
      </c>
      <c r="DY6" s="590" t="s">
        <v>13</v>
      </c>
      <c r="DZ6" s="591" t="s">
        <v>176</v>
      </c>
      <c r="EA6" s="96">
        <f t="shared" ref="EA6:EA34" si="43">+CU6+CE6+BO6+AY6+AI6+S6+C6+DK6</f>
        <v>4000000</v>
      </c>
      <c r="EB6" s="96">
        <f t="shared" si="19"/>
        <v>4000000</v>
      </c>
      <c r="EC6" s="96">
        <f t="shared" si="20"/>
        <v>6852900</v>
      </c>
      <c r="ED6" s="96">
        <f t="shared" si="21"/>
        <v>20000000</v>
      </c>
      <c r="EE6" s="96">
        <f t="shared" si="22"/>
        <v>0</v>
      </c>
      <c r="EF6" s="96">
        <f t="shared" si="23"/>
        <v>0</v>
      </c>
      <c r="EG6" s="96">
        <f t="shared" si="24"/>
        <v>0</v>
      </c>
      <c r="EH6" s="96">
        <f t="shared" si="25"/>
        <v>0</v>
      </c>
      <c r="EI6" s="96">
        <f t="shared" si="26"/>
        <v>0</v>
      </c>
      <c r="EJ6" s="96">
        <f t="shared" si="27"/>
        <v>0</v>
      </c>
      <c r="EK6" s="96">
        <f t="shared" si="28"/>
        <v>4000000</v>
      </c>
      <c r="EL6" s="96">
        <f t="shared" si="29"/>
        <v>4000000</v>
      </c>
      <c r="EM6" s="96">
        <f t="shared" si="30"/>
        <v>6852900</v>
      </c>
      <c r="EN6" s="96">
        <f>+DH6+CR6+CB6+BL6+AV6+AF6+P6+DX6</f>
        <v>20000000</v>
      </c>
      <c r="EO6" s="46"/>
      <c r="EP6" s="44"/>
    </row>
    <row r="7" spans="1:146" s="181" customFormat="1" ht="15" customHeight="1" x14ac:dyDescent="0.25">
      <c r="A7" s="597" t="s">
        <v>54</v>
      </c>
      <c r="B7" s="727" t="s">
        <v>81</v>
      </c>
      <c r="C7" s="370"/>
      <c r="D7" s="144"/>
      <c r="E7" s="370"/>
      <c r="F7" s="370"/>
      <c r="G7" s="370"/>
      <c r="H7" s="370"/>
      <c r="I7" s="370"/>
      <c r="J7" s="370"/>
      <c r="K7" s="370"/>
      <c r="L7" s="370"/>
      <c r="M7" s="168"/>
      <c r="N7" s="168"/>
      <c r="O7" s="168"/>
      <c r="P7" s="168">
        <f t="shared" si="1"/>
        <v>0</v>
      </c>
      <c r="Q7" s="597" t="s">
        <v>54</v>
      </c>
      <c r="R7" s="727" t="s">
        <v>81</v>
      </c>
      <c r="S7" s="144"/>
      <c r="T7" s="144"/>
      <c r="U7" s="144"/>
      <c r="V7" s="144"/>
      <c r="W7" s="370"/>
      <c r="X7" s="144"/>
      <c r="Y7" s="144"/>
      <c r="Z7" s="144"/>
      <c r="AA7" s="144"/>
      <c r="AB7" s="144"/>
      <c r="AC7" s="139"/>
      <c r="AD7" s="139"/>
      <c r="AE7" s="139"/>
      <c r="AF7" s="139">
        <f t="shared" si="36"/>
        <v>0</v>
      </c>
      <c r="AG7" s="597" t="s">
        <v>54</v>
      </c>
      <c r="AH7" s="598" t="s">
        <v>81</v>
      </c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39"/>
      <c r="AT7" s="139"/>
      <c r="AU7" s="139"/>
      <c r="AV7" s="139">
        <f t="shared" si="37"/>
        <v>0</v>
      </c>
      <c r="AW7" s="597" t="s">
        <v>54</v>
      </c>
      <c r="AX7" s="598" t="s">
        <v>81</v>
      </c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39"/>
      <c r="BJ7" s="139"/>
      <c r="BK7" s="139"/>
      <c r="BL7" s="139">
        <f t="shared" si="38"/>
        <v>0</v>
      </c>
      <c r="BM7" s="597" t="s">
        <v>54</v>
      </c>
      <c r="BN7" s="598" t="s">
        <v>81</v>
      </c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39"/>
      <c r="BZ7" s="139"/>
      <c r="CA7" s="139"/>
      <c r="CB7" s="139">
        <f t="shared" si="39"/>
        <v>0</v>
      </c>
      <c r="CC7" s="597" t="s">
        <v>54</v>
      </c>
      <c r="CD7" s="598" t="s">
        <v>81</v>
      </c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39"/>
      <c r="CP7" s="139"/>
      <c r="CQ7" s="139"/>
      <c r="CR7" s="139">
        <f t="shared" si="40"/>
        <v>0</v>
      </c>
      <c r="CS7" s="597" t="s">
        <v>54</v>
      </c>
      <c r="CT7" s="598" t="s">
        <v>81</v>
      </c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39"/>
      <c r="DF7" s="139"/>
      <c r="DG7" s="139"/>
      <c r="DH7" s="139">
        <f t="shared" si="41"/>
        <v>0</v>
      </c>
      <c r="DI7" s="597" t="s">
        <v>54</v>
      </c>
      <c r="DJ7" s="598" t="s">
        <v>81</v>
      </c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39"/>
      <c r="DV7" s="139"/>
      <c r="DW7" s="139"/>
      <c r="DX7" s="139">
        <f t="shared" si="42"/>
        <v>0</v>
      </c>
      <c r="DY7" s="597" t="s">
        <v>54</v>
      </c>
      <c r="DZ7" s="598" t="s">
        <v>81</v>
      </c>
      <c r="EA7" s="96">
        <f t="shared" si="43"/>
        <v>0</v>
      </c>
      <c r="EB7" s="96">
        <f t="shared" si="19"/>
        <v>0</v>
      </c>
      <c r="EC7" s="96">
        <f t="shared" si="20"/>
        <v>0</v>
      </c>
      <c r="ED7" s="96">
        <f t="shared" si="21"/>
        <v>0</v>
      </c>
      <c r="EE7" s="96">
        <f t="shared" si="22"/>
        <v>0</v>
      </c>
      <c r="EF7" s="96">
        <f t="shared" si="23"/>
        <v>0</v>
      </c>
      <c r="EG7" s="96">
        <f t="shared" si="24"/>
        <v>0</v>
      </c>
      <c r="EH7" s="96">
        <f t="shared" si="25"/>
        <v>0</v>
      </c>
      <c r="EI7" s="96">
        <f t="shared" si="26"/>
        <v>0</v>
      </c>
      <c r="EJ7" s="96">
        <f t="shared" si="27"/>
        <v>0</v>
      </c>
      <c r="EK7" s="96">
        <f t="shared" si="28"/>
        <v>0</v>
      </c>
      <c r="EL7" s="96">
        <f t="shared" si="29"/>
        <v>0</v>
      </c>
      <c r="EM7" s="96">
        <f t="shared" si="30"/>
        <v>0</v>
      </c>
      <c r="EN7" s="96">
        <f t="shared" si="31"/>
        <v>0</v>
      </c>
      <c r="EO7" s="46"/>
      <c r="EP7" s="44"/>
    </row>
    <row r="8" spans="1:146" s="181" customFormat="1" ht="15" customHeight="1" x14ac:dyDescent="0.25">
      <c r="A8" s="597" t="s">
        <v>82</v>
      </c>
      <c r="B8" s="727" t="s">
        <v>435</v>
      </c>
      <c r="C8" s="370"/>
      <c r="D8" s="144"/>
      <c r="E8" s="370"/>
      <c r="F8" s="370"/>
      <c r="G8" s="370"/>
      <c r="H8" s="370"/>
      <c r="I8" s="370"/>
      <c r="J8" s="370"/>
      <c r="K8" s="370"/>
      <c r="L8" s="370"/>
      <c r="M8" s="168"/>
      <c r="N8" s="168"/>
      <c r="O8" s="168"/>
      <c r="P8" s="168">
        <f t="shared" si="1"/>
        <v>0</v>
      </c>
      <c r="Q8" s="597" t="s">
        <v>82</v>
      </c>
      <c r="R8" s="727" t="s">
        <v>435</v>
      </c>
      <c r="S8" s="144"/>
      <c r="T8" s="144"/>
      <c r="U8" s="144"/>
      <c r="V8" s="144"/>
      <c r="W8" s="370"/>
      <c r="X8" s="144"/>
      <c r="Y8" s="144"/>
      <c r="Z8" s="144"/>
      <c r="AA8" s="144"/>
      <c r="AB8" s="144"/>
      <c r="AC8" s="139"/>
      <c r="AD8" s="139"/>
      <c r="AE8" s="139"/>
      <c r="AF8" s="139">
        <f t="shared" si="36"/>
        <v>0</v>
      </c>
      <c r="AG8" s="597" t="s">
        <v>82</v>
      </c>
      <c r="AH8" s="598" t="s">
        <v>435</v>
      </c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39"/>
      <c r="AT8" s="139"/>
      <c r="AU8" s="139"/>
      <c r="AV8" s="139">
        <f t="shared" si="37"/>
        <v>0</v>
      </c>
      <c r="AW8" s="597" t="s">
        <v>82</v>
      </c>
      <c r="AX8" s="598" t="s">
        <v>435</v>
      </c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39"/>
      <c r="BJ8" s="139"/>
      <c r="BK8" s="139"/>
      <c r="BL8" s="139">
        <f t="shared" si="38"/>
        <v>0</v>
      </c>
      <c r="BM8" s="597" t="s">
        <v>82</v>
      </c>
      <c r="BN8" s="598" t="s">
        <v>435</v>
      </c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39"/>
      <c r="BZ8" s="139"/>
      <c r="CA8" s="139"/>
      <c r="CB8" s="139">
        <f t="shared" si="39"/>
        <v>0</v>
      </c>
      <c r="CC8" s="597" t="s">
        <v>82</v>
      </c>
      <c r="CD8" s="598" t="s">
        <v>435</v>
      </c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39"/>
      <c r="CP8" s="139"/>
      <c r="CQ8" s="139"/>
      <c r="CR8" s="139">
        <f t="shared" si="40"/>
        <v>0</v>
      </c>
      <c r="CS8" s="597" t="s">
        <v>82</v>
      </c>
      <c r="CT8" s="598" t="s">
        <v>435</v>
      </c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39"/>
      <c r="DF8" s="139"/>
      <c r="DG8" s="139"/>
      <c r="DH8" s="139">
        <f t="shared" si="41"/>
        <v>0</v>
      </c>
      <c r="DI8" s="597" t="s">
        <v>82</v>
      </c>
      <c r="DJ8" s="598" t="s">
        <v>435</v>
      </c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39"/>
      <c r="DV8" s="139"/>
      <c r="DW8" s="139"/>
      <c r="DX8" s="139">
        <f t="shared" si="42"/>
        <v>0</v>
      </c>
      <c r="DY8" s="597" t="s">
        <v>82</v>
      </c>
      <c r="DZ8" s="598" t="s">
        <v>435</v>
      </c>
      <c r="EA8" s="96">
        <f t="shared" si="43"/>
        <v>0</v>
      </c>
      <c r="EB8" s="96">
        <f t="shared" si="19"/>
        <v>0</v>
      </c>
      <c r="EC8" s="96">
        <f t="shared" si="20"/>
        <v>0</v>
      </c>
      <c r="ED8" s="96">
        <f t="shared" si="21"/>
        <v>0</v>
      </c>
      <c r="EE8" s="96">
        <f t="shared" si="22"/>
        <v>0</v>
      </c>
      <c r="EF8" s="96">
        <f t="shared" si="23"/>
        <v>0</v>
      </c>
      <c r="EG8" s="96">
        <f t="shared" si="24"/>
        <v>0</v>
      </c>
      <c r="EH8" s="96">
        <f t="shared" si="25"/>
        <v>0</v>
      </c>
      <c r="EI8" s="96">
        <f t="shared" si="26"/>
        <v>0</v>
      </c>
      <c r="EJ8" s="96">
        <f t="shared" si="27"/>
        <v>0</v>
      </c>
      <c r="EK8" s="96">
        <f t="shared" si="28"/>
        <v>0</v>
      </c>
      <c r="EL8" s="96">
        <f t="shared" si="29"/>
        <v>0</v>
      </c>
      <c r="EM8" s="96">
        <f t="shared" si="30"/>
        <v>0</v>
      </c>
      <c r="EN8" s="96">
        <f t="shared" si="31"/>
        <v>0</v>
      </c>
      <c r="EO8" s="46"/>
      <c r="EP8" s="44"/>
    </row>
    <row r="9" spans="1:146" s="181" customFormat="1" ht="15" customHeight="1" x14ac:dyDescent="0.25">
      <c r="A9" s="597" t="s">
        <v>83</v>
      </c>
      <c r="B9" s="727" t="s">
        <v>85</v>
      </c>
      <c r="C9" s="370"/>
      <c r="D9" s="144"/>
      <c r="E9" s="370"/>
      <c r="F9" s="370"/>
      <c r="G9" s="370"/>
      <c r="H9" s="370"/>
      <c r="I9" s="370"/>
      <c r="J9" s="370"/>
      <c r="K9" s="370"/>
      <c r="L9" s="370"/>
      <c r="M9" s="168"/>
      <c r="N9" s="168"/>
      <c r="O9" s="168"/>
      <c r="P9" s="168">
        <f t="shared" si="1"/>
        <v>0</v>
      </c>
      <c r="Q9" s="597" t="s">
        <v>83</v>
      </c>
      <c r="R9" s="727" t="s">
        <v>85</v>
      </c>
      <c r="S9" s="144"/>
      <c r="T9" s="144"/>
      <c r="U9" s="144"/>
      <c r="V9" s="144"/>
      <c r="W9" s="370"/>
      <c r="X9" s="144"/>
      <c r="Y9" s="144"/>
      <c r="Z9" s="144"/>
      <c r="AA9" s="144"/>
      <c r="AB9" s="144"/>
      <c r="AC9" s="139"/>
      <c r="AD9" s="139"/>
      <c r="AE9" s="139"/>
      <c r="AF9" s="139">
        <f t="shared" si="36"/>
        <v>0</v>
      </c>
      <c r="AG9" s="597" t="s">
        <v>83</v>
      </c>
      <c r="AH9" s="598" t="s">
        <v>85</v>
      </c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39"/>
      <c r="AT9" s="139"/>
      <c r="AU9" s="139"/>
      <c r="AV9" s="139">
        <f t="shared" si="37"/>
        <v>0</v>
      </c>
      <c r="AW9" s="597" t="s">
        <v>83</v>
      </c>
      <c r="AX9" s="598" t="s">
        <v>85</v>
      </c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39"/>
      <c r="BJ9" s="139"/>
      <c r="BK9" s="139"/>
      <c r="BL9" s="139">
        <f t="shared" si="38"/>
        <v>0</v>
      </c>
      <c r="BM9" s="597" t="s">
        <v>83</v>
      </c>
      <c r="BN9" s="598" t="s">
        <v>85</v>
      </c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39"/>
      <c r="BZ9" s="139"/>
      <c r="CA9" s="139"/>
      <c r="CB9" s="139">
        <f t="shared" si="39"/>
        <v>0</v>
      </c>
      <c r="CC9" s="597" t="s">
        <v>83</v>
      </c>
      <c r="CD9" s="598" t="s">
        <v>85</v>
      </c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39"/>
      <c r="CP9" s="139"/>
      <c r="CQ9" s="139"/>
      <c r="CR9" s="139">
        <f t="shared" si="40"/>
        <v>0</v>
      </c>
      <c r="CS9" s="597" t="s">
        <v>83</v>
      </c>
      <c r="CT9" s="598" t="s">
        <v>85</v>
      </c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39"/>
      <c r="DF9" s="139"/>
      <c r="DG9" s="139"/>
      <c r="DH9" s="139">
        <f t="shared" si="41"/>
        <v>0</v>
      </c>
      <c r="DI9" s="597" t="s">
        <v>83</v>
      </c>
      <c r="DJ9" s="598" t="s">
        <v>85</v>
      </c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39"/>
      <c r="DV9" s="139"/>
      <c r="DW9" s="139"/>
      <c r="DX9" s="139">
        <f t="shared" si="42"/>
        <v>0</v>
      </c>
      <c r="DY9" s="597" t="s">
        <v>83</v>
      </c>
      <c r="DZ9" s="598" t="s">
        <v>85</v>
      </c>
      <c r="EA9" s="96">
        <f t="shared" si="43"/>
        <v>0</v>
      </c>
      <c r="EB9" s="96">
        <f t="shared" si="19"/>
        <v>0</v>
      </c>
      <c r="EC9" s="96">
        <f t="shared" si="20"/>
        <v>0</v>
      </c>
      <c r="ED9" s="96">
        <f t="shared" si="21"/>
        <v>0</v>
      </c>
      <c r="EE9" s="96">
        <f t="shared" si="22"/>
        <v>0</v>
      </c>
      <c r="EF9" s="96">
        <f t="shared" si="23"/>
        <v>0</v>
      </c>
      <c r="EG9" s="96">
        <f t="shared" si="24"/>
        <v>0</v>
      </c>
      <c r="EH9" s="96">
        <f t="shared" si="25"/>
        <v>0</v>
      </c>
      <c r="EI9" s="96">
        <f t="shared" si="26"/>
        <v>0</v>
      </c>
      <c r="EJ9" s="96">
        <f t="shared" si="27"/>
        <v>0</v>
      </c>
      <c r="EK9" s="96">
        <f t="shared" si="28"/>
        <v>0</v>
      </c>
      <c r="EL9" s="96">
        <f t="shared" si="29"/>
        <v>0</v>
      </c>
      <c r="EM9" s="96">
        <f t="shared" si="30"/>
        <v>0</v>
      </c>
      <c r="EN9" s="96">
        <f t="shared" si="31"/>
        <v>0</v>
      </c>
      <c r="EO9" s="46"/>
      <c r="EP9" s="44"/>
    </row>
    <row r="10" spans="1:146" s="181" customFormat="1" ht="15" customHeight="1" x14ac:dyDescent="0.25">
      <c r="A10" s="597" t="s">
        <v>84</v>
      </c>
      <c r="B10" s="727" t="s">
        <v>310</v>
      </c>
      <c r="C10" s="370"/>
      <c r="D10" s="144"/>
      <c r="E10" s="370"/>
      <c r="F10" s="370"/>
      <c r="G10" s="370"/>
      <c r="H10" s="370"/>
      <c r="I10" s="370"/>
      <c r="J10" s="370"/>
      <c r="K10" s="370"/>
      <c r="L10" s="370"/>
      <c r="M10" s="168"/>
      <c r="N10" s="168"/>
      <c r="O10" s="168"/>
      <c r="P10" s="168">
        <f t="shared" si="1"/>
        <v>0</v>
      </c>
      <c r="Q10" s="597" t="s">
        <v>84</v>
      </c>
      <c r="R10" s="727" t="s">
        <v>310</v>
      </c>
      <c r="S10" s="144"/>
      <c r="T10" s="144"/>
      <c r="U10" s="144"/>
      <c r="V10" s="144"/>
      <c r="W10" s="370"/>
      <c r="X10" s="144"/>
      <c r="Y10" s="144"/>
      <c r="Z10" s="144"/>
      <c r="AA10" s="144"/>
      <c r="AB10" s="144"/>
      <c r="AC10" s="139"/>
      <c r="AD10" s="139"/>
      <c r="AE10" s="139"/>
      <c r="AF10" s="139">
        <f t="shared" si="36"/>
        <v>0</v>
      </c>
      <c r="AG10" s="597" t="s">
        <v>84</v>
      </c>
      <c r="AH10" s="598" t="s">
        <v>310</v>
      </c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39"/>
      <c r="AT10" s="139"/>
      <c r="AU10" s="139"/>
      <c r="AV10" s="139">
        <f t="shared" si="37"/>
        <v>0</v>
      </c>
      <c r="AW10" s="597" t="s">
        <v>84</v>
      </c>
      <c r="AX10" s="598" t="s">
        <v>310</v>
      </c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39"/>
      <c r="BJ10" s="139"/>
      <c r="BK10" s="139"/>
      <c r="BL10" s="139">
        <f t="shared" si="38"/>
        <v>0</v>
      </c>
      <c r="BM10" s="597" t="s">
        <v>84</v>
      </c>
      <c r="BN10" s="598" t="s">
        <v>310</v>
      </c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39"/>
      <c r="BZ10" s="139"/>
      <c r="CA10" s="139"/>
      <c r="CB10" s="139">
        <f t="shared" si="39"/>
        <v>0</v>
      </c>
      <c r="CC10" s="597" t="s">
        <v>84</v>
      </c>
      <c r="CD10" s="598" t="s">
        <v>310</v>
      </c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39"/>
      <c r="CP10" s="139"/>
      <c r="CQ10" s="139"/>
      <c r="CR10" s="139">
        <f t="shared" si="40"/>
        <v>0</v>
      </c>
      <c r="CS10" s="597" t="s">
        <v>84</v>
      </c>
      <c r="CT10" s="598" t="s">
        <v>310</v>
      </c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39"/>
      <c r="DF10" s="139"/>
      <c r="DG10" s="139"/>
      <c r="DH10" s="139">
        <f t="shared" si="41"/>
        <v>0</v>
      </c>
      <c r="DI10" s="597" t="s">
        <v>84</v>
      </c>
      <c r="DJ10" s="598" t="s">
        <v>310</v>
      </c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39"/>
      <c r="DV10" s="139"/>
      <c r="DW10" s="139"/>
      <c r="DX10" s="139">
        <f t="shared" si="42"/>
        <v>0</v>
      </c>
      <c r="DY10" s="597" t="s">
        <v>84</v>
      </c>
      <c r="DZ10" s="598" t="s">
        <v>310</v>
      </c>
      <c r="EA10" s="96">
        <f t="shared" si="43"/>
        <v>0</v>
      </c>
      <c r="EB10" s="96">
        <f t="shared" si="19"/>
        <v>0</v>
      </c>
      <c r="EC10" s="96">
        <f t="shared" si="20"/>
        <v>0</v>
      </c>
      <c r="ED10" s="96">
        <f t="shared" si="21"/>
        <v>0</v>
      </c>
      <c r="EE10" s="96">
        <f t="shared" si="22"/>
        <v>0</v>
      </c>
      <c r="EF10" s="96">
        <f t="shared" si="23"/>
        <v>0</v>
      </c>
      <c r="EG10" s="96">
        <f t="shared" si="24"/>
        <v>0</v>
      </c>
      <c r="EH10" s="96">
        <f t="shared" si="25"/>
        <v>0</v>
      </c>
      <c r="EI10" s="96">
        <f t="shared" si="26"/>
        <v>0</v>
      </c>
      <c r="EJ10" s="96">
        <f t="shared" si="27"/>
        <v>0</v>
      </c>
      <c r="EK10" s="96">
        <f t="shared" si="28"/>
        <v>0</v>
      </c>
      <c r="EL10" s="96">
        <f t="shared" si="29"/>
        <v>0</v>
      </c>
      <c r="EM10" s="96">
        <f t="shared" si="30"/>
        <v>0</v>
      </c>
      <c r="EN10" s="96">
        <f t="shared" si="31"/>
        <v>0</v>
      </c>
      <c r="EO10" s="46"/>
      <c r="EP10" s="44"/>
    </row>
    <row r="11" spans="1:146" ht="15" customHeight="1" x14ac:dyDescent="0.25">
      <c r="A11" s="590" t="s">
        <v>14</v>
      </c>
      <c r="B11" s="728" t="s">
        <v>161</v>
      </c>
      <c r="C11" s="370">
        <v>0</v>
      </c>
      <c r="D11" s="144">
        <v>0</v>
      </c>
      <c r="E11" s="370">
        <v>0</v>
      </c>
      <c r="F11" s="370">
        <v>0</v>
      </c>
      <c r="G11" s="370">
        <v>0</v>
      </c>
      <c r="H11" s="370">
        <v>0</v>
      </c>
      <c r="I11" s="370">
        <v>0</v>
      </c>
      <c r="J11" s="370">
        <v>0</v>
      </c>
      <c r="K11" s="370">
        <v>0</v>
      </c>
      <c r="L11" s="370">
        <v>0</v>
      </c>
      <c r="M11" s="168">
        <f t="shared" si="32"/>
        <v>0</v>
      </c>
      <c r="N11" s="168">
        <f t="shared" ref="N11:N12" si="44">D11+H11+L11</f>
        <v>0</v>
      </c>
      <c r="O11" s="168">
        <f t="shared" ref="O11:O12" si="45">E11+I11+M11</f>
        <v>0</v>
      </c>
      <c r="P11" s="168">
        <f t="shared" si="1"/>
        <v>0</v>
      </c>
      <c r="Q11" s="590" t="s">
        <v>14</v>
      </c>
      <c r="R11" s="728" t="s">
        <v>161</v>
      </c>
      <c r="S11" s="52">
        <v>0</v>
      </c>
      <c r="T11" s="144">
        <v>0</v>
      </c>
      <c r="U11" s="144">
        <v>0</v>
      </c>
      <c r="V11" s="52">
        <v>0</v>
      </c>
      <c r="W11" s="370">
        <v>0</v>
      </c>
      <c r="X11" s="144">
        <v>0</v>
      </c>
      <c r="Y11" s="144">
        <v>0</v>
      </c>
      <c r="Z11" s="144">
        <v>0</v>
      </c>
      <c r="AA11" s="52">
        <v>0</v>
      </c>
      <c r="AB11" s="144">
        <v>0</v>
      </c>
      <c r="AC11" s="17">
        <f t="shared" si="33"/>
        <v>0</v>
      </c>
      <c r="AD11" s="139">
        <f t="shared" si="34"/>
        <v>0</v>
      </c>
      <c r="AE11" s="139">
        <f t="shared" si="35"/>
        <v>0</v>
      </c>
      <c r="AF11" s="139">
        <f t="shared" si="36"/>
        <v>0</v>
      </c>
      <c r="AG11" s="590" t="s">
        <v>14</v>
      </c>
      <c r="AH11" s="599" t="s">
        <v>161</v>
      </c>
      <c r="AI11" s="52">
        <v>0</v>
      </c>
      <c r="AJ11" s="144">
        <v>0</v>
      </c>
      <c r="AK11" s="144">
        <v>0</v>
      </c>
      <c r="AL11" s="144">
        <v>0</v>
      </c>
      <c r="AM11" s="52">
        <v>0</v>
      </c>
      <c r="AN11" s="144">
        <v>0</v>
      </c>
      <c r="AO11" s="144">
        <v>0</v>
      </c>
      <c r="AP11" s="144">
        <v>0</v>
      </c>
      <c r="AQ11" s="52">
        <v>0</v>
      </c>
      <c r="AR11" s="144">
        <v>0</v>
      </c>
      <c r="AS11" s="17">
        <f t="shared" si="2"/>
        <v>0</v>
      </c>
      <c r="AT11" s="139">
        <f t="shared" si="3"/>
        <v>0</v>
      </c>
      <c r="AU11" s="139">
        <f t="shared" si="4"/>
        <v>0</v>
      </c>
      <c r="AV11" s="139">
        <f t="shared" si="37"/>
        <v>0</v>
      </c>
      <c r="AW11" s="590" t="s">
        <v>14</v>
      </c>
      <c r="AX11" s="599" t="s">
        <v>161</v>
      </c>
      <c r="AY11" s="52">
        <v>0</v>
      </c>
      <c r="AZ11" s="144">
        <v>0</v>
      </c>
      <c r="BA11" s="144">
        <v>0</v>
      </c>
      <c r="BB11" s="144">
        <v>0</v>
      </c>
      <c r="BC11" s="52">
        <v>0</v>
      </c>
      <c r="BD11" s="144">
        <v>0</v>
      </c>
      <c r="BE11" s="144">
        <v>0</v>
      </c>
      <c r="BF11" s="144">
        <v>0</v>
      </c>
      <c r="BG11" s="52">
        <v>0</v>
      </c>
      <c r="BH11" s="144">
        <v>0</v>
      </c>
      <c r="BI11" s="17">
        <f t="shared" si="5"/>
        <v>0</v>
      </c>
      <c r="BJ11" s="139">
        <f t="shared" si="6"/>
        <v>0</v>
      </c>
      <c r="BK11" s="139">
        <f t="shared" si="7"/>
        <v>0</v>
      </c>
      <c r="BL11" s="139">
        <f t="shared" si="38"/>
        <v>0</v>
      </c>
      <c r="BM11" s="590" t="s">
        <v>14</v>
      </c>
      <c r="BN11" s="599" t="s">
        <v>161</v>
      </c>
      <c r="BO11" s="52">
        <v>0</v>
      </c>
      <c r="BP11" s="144">
        <v>0</v>
      </c>
      <c r="BQ11" s="144">
        <v>0</v>
      </c>
      <c r="BR11" s="144">
        <v>0</v>
      </c>
      <c r="BS11" s="52">
        <v>0</v>
      </c>
      <c r="BT11" s="144">
        <v>0</v>
      </c>
      <c r="BU11" s="144">
        <v>0</v>
      </c>
      <c r="BV11" s="144">
        <v>0</v>
      </c>
      <c r="BW11" s="52">
        <v>0</v>
      </c>
      <c r="BX11" s="144">
        <v>0</v>
      </c>
      <c r="BY11" s="17">
        <f t="shared" si="8"/>
        <v>0</v>
      </c>
      <c r="BZ11" s="139">
        <f t="shared" si="9"/>
        <v>0</v>
      </c>
      <c r="CA11" s="139">
        <f>BQ11+BU11+BX11</f>
        <v>0</v>
      </c>
      <c r="CB11" s="139">
        <f t="shared" si="39"/>
        <v>0</v>
      </c>
      <c r="CC11" s="590" t="s">
        <v>14</v>
      </c>
      <c r="CD11" s="599" t="s">
        <v>161</v>
      </c>
      <c r="CE11" s="52">
        <v>0</v>
      </c>
      <c r="CF11" s="144">
        <v>0</v>
      </c>
      <c r="CG11" s="144">
        <v>0</v>
      </c>
      <c r="CH11" s="144">
        <v>0</v>
      </c>
      <c r="CI11" s="52">
        <v>0</v>
      </c>
      <c r="CJ11" s="144">
        <v>0</v>
      </c>
      <c r="CK11" s="144">
        <v>0</v>
      </c>
      <c r="CL11" s="144">
        <v>0</v>
      </c>
      <c r="CM11" s="52">
        <v>0</v>
      </c>
      <c r="CN11" s="144">
        <v>0</v>
      </c>
      <c r="CO11" s="17">
        <f t="shared" si="10"/>
        <v>0</v>
      </c>
      <c r="CP11" s="139">
        <f t="shared" si="11"/>
        <v>0</v>
      </c>
      <c r="CQ11" s="139">
        <f t="shared" si="12"/>
        <v>0</v>
      </c>
      <c r="CR11" s="139">
        <f t="shared" si="40"/>
        <v>0</v>
      </c>
      <c r="CS11" s="590" t="s">
        <v>14</v>
      </c>
      <c r="CT11" s="599" t="s">
        <v>161</v>
      </c>
      <c r="CU11" s="144">
        <v>0</v>
      </c>
      <c r="CV11" s="144">
        <v>0</v>
      </c>
      <c r="CW11" s="144">
        <v>0</v>
      </c>
      <c r="CX11" s="144">
        <v>0</v>
      </c>
      <c r="CY11" s="144">
        <v>0</v>
      </c>
      <c r="CZ11" s="144">
        <v>0</v>
      </c>
      <c r="DA11" s="144">
        <v>0</v>
      </c>
      <c r="DB11" s="144">
        <v>0</v>
      </c>
      <c r="DC11" s="144">
        <v>0</v>
      </c>
      <c r="DD11" s="144">
        <v>0</v>
      </c>
      <c r="DE11" s="139">
        <f t="shared" si="13"/>
        <v>0</v>
      </c>
      <c r="DF11" s="139">
        <f t="shared" si="14"/>
        <v>0</v>
      </c>
      <c r="DG11" s="139">
        <f t="shared" si="15"/>
        <v>0</v>
      </c>
      <c r="DH11" s="139">
        <f t="shared" si="41"/>
        <v>0</v>
      </c>
      <c r="DI11" s="590" t="s">
        <v>14</v>
      </c>
      <c r="DJ11" s="599" t="s">
        <v>161</v>
      </c>
      <c r="DK11" s="144">
        <v>0</v>
      </c>
      <c r="DL11" s="144">
        <v>0</v>
      </c>
      <c r="DM11" s="144">
        <v>0</v>
      </c>
      <c r="DN11" s="144">
        <v>0</v>
      </c>
      <c r="DO11" s="144">
        <v>0</v>
      </c>
      <c r="DP11" s="144">
        <v>0</v>
      </c>
      <c r="DQ11" s="144">
        <v>0</v>
      </c>
      <c r="DR11" s="144">
        <v>0</v>
      </c>
      <c r="DS11" s="144">
        <v>0</v>
      </c>
      <c r="DT11" s="144">
        <v>0</v>
      </c>
      <c r="DU11" s="139">
        <f t="shared" si="16"/>
        <v>0</v>
      </c>
      <c r="DV11" s="139">
        <f t="shared" si="17"/>
        <v>0</v>
      </c>
      <c r="DW11" s="139">
        <f t="shared" si="18"/>
        <v>0</v>
      </c>
      <c r="DX11" s="139">
        <f t="shared" si="42"/>
        <v>0</v>
      </c>
      <c r="DY11" s="590" t="s">
        <v>14</v>
      </c>
      <c r="DZ11" s="599" t="s">
        <v>161</v>
      </c>
      <c r="EA11" s="96">
        <f t="shared" si="43"/>
        <v>0</v>
      </c>
      <c r="EB11" s="96">
        <f t="shared" si="19"/>
        <v>0</v>
      </c>
      <c r="EC11" s="96">
        <f t="shared" si="20"/>
        <v>0</v>
      </c>
      <c r="ED11" s="96">
        <f t="shared" si="21"/>
        <v>0</v>
      </c>
      <c r="EE11" s="96">
        <f t="shared" si="22"/>
        <v>0</v>
      </c>
      <c r="EF11" s="96">
        <f t="shared" si="23"/>
        <v>0</v>
      </c>
      <c r="EG11" s="96">
        <f t="shared" si="24"/>
        <v>0</v>
      </c>
      <c r="EH11" s="96">
        <f t="shared" si="25"/>
        <v>0</v>
      </c>
      <c r="EI11" s="96">
        <f t="shared" si="26"/>
        <v>0</v>
      </c>
      <c r="EJ11" s="96">
        <f t="shared" si="27"/>
        <v>0</v>
      </c>
      <c r="EK11" s="96">
        <f t="shared" si="28"/>
        <v>0</v>
      </c>
      <c r="EL11" s="96">
        <f t="shared" si="29"/>
        <v>0</v>
      </c>
      <c r="EM11" s="96">
        <f t="shared" si="30"/>
        <v>0</v>
      </c>
      <c r="EN11" s="96">
        <f t="shared" si="31"/>
        <v>0</v>
      </c>
      <c r="EO11" s="46"/>
      <c r="EP11" s="44"/>
    </row>
    <row r="12" spans="1:146" ht="15" customHeight="1" x14ac:dyDescent="0.25">
      <c r="A12" s="590" t="s">
        <v>15</v>
      </c>
      <c r="B12" s="728" t="s">
        <v>87</v>
      </c>
      <c r="C12" s="370">
        <v>0</v>
      </c>
      <c r="D12" s="144">
        <v>0</v>
      </c>
      <c r="E12" s="370">
        <v>0</v>
      </c>
      <c r="F12" s="370">
        <v>0</v>
      </c>
      <c r="G12" s="370">
        <v>0</v>
      </c>
      <c r="H12" s="370">
        <v>0</v>
      </c>
      <c r="I12" s="370">
        <v>0</v>
      </c>
      <c r="J12" s="370">
        <v>0</v>
      </c>
      <c r="K12" s="370">
        <v>0</v>
      </c>
      <c r="L12" s="370">
        <v>0</v>
      </c>
      <c r="M12" s="168">
        <f t="shared" si="32"/>
        <v>0</v>
      </c>
      <c r="N12" s="168">
        <f t="shared" si="44"/>
        <v>0</v>
      </c>
      <c r="O12" s="168">
        <f t="shared" si="45"/>
        <v>0</v>
      </c>
      <c r="P12" s="168">
        <f t="shared" si="1"/>
        <v>0</v>
      </c>
      <c r="Q12" s="590" t="s">
        <v>15</v>
      </c>
      <c r="R12" s="728" t="s">
        <v>87</v>
      </c>
      <c r="S12" s="52">
        <v>0</v>
      </c>
      <c r="T12" s="144">
        <v>0</v>
      </c>
      <c r="U12" s="144">
        <v>0</v>
      </c>
      <c r="V12" s="52">
        <v>0</v>
      </c>
      <c r="W12" s="370">
        <v>0</v>
      </c>
      <c r="X12" s="144">
        <v>0</v>
      </c>
      <c r="Y12" s="144">
        <v>0</v>
      </c>
      <c r="Z12" s="144">
        <v>0</v>
      </c>
      <c r="AA12" s="52">
        <v>0</v>
      </c>
      <c r="AB12" s="144">
        <v>0</v>
      </c>
      <c r="AC12" s="17">
        <f t="shared" si="33"/>
        <v>0</v>
      </c>
      <c r="AD12" s="139">
        <f t="shared" si="34"/>
        <v>0</v>
      </c>
      <c r="AE12" s="139">
        <f t="shared" si="35"/>
        <v>0</v>
      </c>
      <c r="AF12" s="139">
        <f t="shared" si="36"/>
        <v>0</v>
      </c>
      <c r="AG12" s="590" t="s">
        <v>15</v>
      </c>
      <c r="AH12" s="599" t="s">
        <v>87</v>
      </c>
      <c r="AI12" s="52">
        <v>0</v>
      </c>
      <c r="AJ12" s="144">
        <v>0</v>
      </c>
      <c r="AK12" s="144">
        <v>0</v>
      </c>
      <c r="AL12" s="144">
        <v>0</v>
      </c>
      <c r="AM12" s="52">
        <v>0</v>
      </c>
      <c r="AN12" s="144">
        <v>0</v>
      </c>
      <c r="AO12" s="144">
        <v>0</v>
      </c>
      <c r="AP12" s="144">
        <v>0</v>
      </c>
      <c r="AQ12" s="52">
        <v>0</v>
      </c>
      <c r="AR12" s="144">
        <v>0</v>
      </c>
      <c r="AS12" s="17">
        <f t="shared" si="2"/>
        <v>0</v>
      </c>
      <c r="AT12" s="139">
        <f t="shared" si="3"/>
        <v>0</v>
      </c>
      <c r="AU12" s="139">
        <f t="shared" si="4"/>
        <v>0</v>
      </c>
      <c r="AV12" s="139">
        <f t="shared" si="37"/>
        <v>0</v>
      </c>
      <c r="AW12" s="590" t="s">
        <v>15</v>
      </c>
      <c r="AX12" s="599" t="s">
        <v>87</v>
      </c>
      <c r="AY12" s="52">
        <v>0</v>
      </c>
      <c r="AZ12" s="144">
        <v>0</v>
      </c>
      <c r="BA12" s="144">
        <v>0</v>
      </c>
      <c r="BB12" s="144">
        <v>0</v>
      </c>
      <c r="BC12" s="52">
        <v>0</v>
      </c>
      <c r="BD12" s="144">
        <v>0</v>
      </c>
      <c r="BE12" s="144">
        <v>0</v>
      </c>
      <c r="BF12" s="144">
        <v>0</v>
      </c>
      <c r="BG12" s="52">
        <v>0</v>
      </c>
      <c r="BH12" s="144">
        <v>0</v>
      </c>
      <c r="BI12" s="17">
        <f t="shared" si="5"/>
        <v>0</v>
      </c>
      <c r="BJ12" s="139">
        <f t="shared" si="6"/>
        <v>0</v>
      </c>
      <c r="BK12" s="139">
        <f t="shared" si="7"/>
        <v>0</v>
      </c>
      <c r="BL12" s="139">
        <f t="shared" si="38"/>
        <v>0</v>
      </c>
      <c r="BM12" s="590" t="s">
        <v>15</v>
      </c>
      <c r="BN12" s="599" t="s">
        <v>87</v>
      </c>
      <c r="BO12" s="52">
        <v>0</v>
      </c>
      <c r="BP12" s="144">
        <v>0</v>
      </c>
      <c r="BQ12" s="144">
        <v>0</v>
      </c>
      <c r="BR12" s="144">
        <v>0</v>
      </c>
      <c r="BS12" s="52">
        <v>0</v>
      </c>
      <c r="BT12" s="144">
        <v>0</v>
      </c>
      <c r="BU12" s="144">
        <v>0</v>
      </c>
      <c r="BV12" s="144">
        <v>0</v>
      </c>
      <c r="BW12" s="52">
        <v>0</v>
      </c>
      <c r="BX12" s="144">
        <v>0</v>
      </c>
      <c r="BY12" s="17">
        <f t="shared" si="8"/>
        <v>0</v>
      </c>
      <c r="BZ12" s="139">
        <f t="shared" si="9"/>
        <v>0</v>
      </c>
      <c r="CA12" s="139">
        <f>BQ12+BU12+BX12</f>
        <v>0</v>
      </c>
      <c r="CB12" s="139">
        <f t="shared" si="39"/>
        <v>0</v>
      </c>
      <c r="CC12" s="590" t="s">
        <v>15</v>
      </c>
      <c r="CD12" s="599" t="s">
        <v>87</v>
      </c>
      <c r="CE12" s="52">
        <v>0</v>
      </c>
      <c r="CF12" s="144">
        <v>0</v>
      </c>
      <c r="CG12" s="144">
        <v>0</v>
      </c>
      <c r="CH12" s="144">
        <v>0</v>
      </c>
      <c r="CI12" s="52">
        <v>0</v>
      </c>
      <c r="CJ12" s="144">
        <v>0</v>
      </c>
      <c r="CK12" s="144">
        <v>0</v>
      </c>
      <c r="CL12" s="144">
        <v>0</v>
      </c>
      <c r="CM12" s="52">
        <v>0</v>
      </c>
      <c r="CN12" s="144">
        <v>0</v>
      </c>
      <c r="CO12" s="17">
        <f t="shared" si="10"/>
        <v>0</v>
      </c>
      <c r="CP12" s="139">
        <f t="shared" si="11"/>
        <v>0</v>
      </c>
      <c r="CQ12" s="139">
        <f t="shared" si="12"/>
        <v>0</v>
      </c>
      <c r="CR12" s="139">
        <f t="shared" si="40"/>
        <v>0</v>
      </c>
      <c r="CS12" s="590" t="s">
        <v>15</v>
      </c>
      <c r="CT12" s="599" t="s">
        <v>87</v>
      </c>
      <c r="CU12" s="144">
        <v>0</v>
      </c>
      <c r="CV12" s="144">
        <v>0</v>
      </c>
      <c r="CW12" s="144">
        <v>0</v>
      </c>
      <c r="CX12" s="144">
        <v>0</v>
      </c>
      <c r="CY12" s="144">
        <v>0</v>
      </c>
      <c r="CZ12" s="144">
        <v>0</v>
      </c>
      <c r="DA12" s="144">
        <v>0</v>
      </c>
      <c r="DB12" s="144">
        <v>0</v>
      </c>
      <c r="DC12" s="144">
        <v>0</v>
      </c>
      <c r="DD12" s="144">
        <v>0</v>
      </c>
      <c r="DE12" s="139">
        <f t="shared" si="13"/>
        <v>0</v>
      </c>
      <c r="DF12" s="139">
        <f t="shared" si="14"/>
        <v>0</v>
      </c>
      <c r="DG12" s="139">
        <f t="shared" si="15"/>
        <v>0</v>
      </c>
      <c r="DH12" s="139">
        <f t="shared" si="41"/>
        <v>0</v>
      </c>
      <c r="DI12" s="590" t="s">
        <v>15</v>
      </c>
      <c r="DJ12" s="599" t="s">
        <v>87</v>
      </c>
      <c r="DK12" s="144">
        <v>0</v>
      </c>
      <c r="DL12" s="144">
        <v>0</v>
      </c>
      <c r="DM12" s="144">
        <v>0</v>
      </c>
      <c r="DN12" s="144">
        <v>0</v>
      </c>
      <c r="DO12" s="144">
        <v>0</v>
      </c>
      <c r="DP12" s="144">
        <v>0</v>
      </c>
      <c r="DQ12" s="144">
        <v>0</v>
      </c>
      <c r="DR12" s="144">
        <v>0</v>
      </c>
      <c r="DS12" s="144">
        <v>0</v>
      </c>
      <c r="DT12" s="144">
        <v>0</v>
      </c>
      <c r="DU12" s="139">
        <f t="shared" si="16"/>
        <v>0</v>
      </c>
      <c r="DV12" s="139">
        <f t="shared" si="17"/>
        <v>0</v>
      </c>
      <c r="DW12" s="139">
        <f t="shared" si="18"/>
        <v>0</v>
      </c>
      <c r="DX12" s="139">
        <f t="shared" si="42"/>
        <v>0</v>
      </c>
      <c r="DY12" s="590" t="s">
        <v>15</v>
      </c>
      <c r="DZ12" s="599" t="s">
        <v>87</v>
      </c>
      <c r="EA12" s="96">
        <f t="shared" si="43"/>
        <v>0</v>
      </c>
      <c r="EB12" s="96">
        <f t="shared" si="19"/>
        <v>0</v>
      </c>
      <c r="EC12" s="96">
        <f t="shared" si="20"/>
        <v>0</v>
      </c>
      <c r="ED12" s="96">
        <f t="shared" si="21"/>
        <v>0</v>
      </c>
      <c r="EE12" s="96">
        <f t="shared" si="22"/>
        <v>0</v>
      </c>
      <c r="EF12" s="96">
        <f t="shared" si="23"/>
        <v>0</v>
      </c>
      <c r="EG12" s="96">
        <f t="shared" si="24"/>
        <v>0</v>
      </c>
      <c r="EH12" s="96">
        <f t="shared" si="25"/>
        <v>0</v>
      </c>
      <c r="EI12" s="96">
        <f t="shared" si="26"/>
        <v>0</v>
      </c>
      <c r="EJ12" s="96">
        <f t="shared" si="27"/>
        <v>0</v>
      </c>
      <c r="EK12" s="96">
        <f t="shared" si="28"/>
        <v>0</v>
      </c>
      <c r="EL12" s="96">
        <f t="shared" si="29"/>
        <v>0</v>
      </c>
      <c r="EM12" s="96">
        <f t="shared" si="30"/>
        <v>0</v>
      </c>
      <c r="EN12" s="96">
        <f t="shared" si="31"/>
        <v>0</v>
      </c>
      <c r="EO12" s="46"/>
      <c r="EP12" s="44"/>
    </row>
    <row r="13" spans="1:146" s="181" customFormat="1" ht="15" customHeight="1" x14ac:dyDescent="0.25">
      <c r="A13" s="597" t="s">
        <v>560</v>
      </c>
      <c r="B13" s="727" t="s">
        <v>547</v>
      </c>
      <c r="C13" s="370"/>
      <c r="D13" s="144"/>
      <c r="E13" s="370"/>
      <c r="F13" s="370"/>
      <c r="G13" s="370"/>
      <c r="H13" s="370"/>
      <c r="I13" s="370"/>
      <c r="J13" s="370"/>
      <c r="K13" s="370"/>
      <c r="L13" s="370"/>
      <c r="M13" s="168"/>
      <c r="N13" s="168"/>
      <c r="O13" s="168"/>
      <c r="P13" s="168">
        <f t="shared" si="1"/>
        <v>0</v>
      </c>
      <c r="Q13" s="597" t="s">
        <v>560</v>
      </c>
      <c r="R13" s="727" t="s">
        <v>547</v>
      </c>
      <c r="S13" s="144"/>
      <c r="T13" s="144"/>
      <c r="U13" s="144"/>
      <c r="V13" s="144"/>
      <c r="W13" s="370"/>
      <c r="X13" s="144"/>
      <c r="Y13" s="144"/>
      <c r="Z13" s="144"/>
      <c r="AA13" s="144"/>
      <c r="AB13" s="144"/>
      <c r="AC13" s="139"/>
      <c r="AD13" s="139"/>
      <c r="AE13" s="139"/>
      <c r="AF13" s="139">
        <f t="shared" si="36"/>
        <v>0</v>
      </c>
      <c r="AG13" s="597" t="s">
        <v>560</v>
      </c>
      <c r="AH13" s="598" t="s">
        <v>547</v>
      </c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39"/>
      <c r="AT13" s="139"/>
      <c r="AU13" s="139"/>
      <c r="AV13" s="139">
        <f t="shared" si="37"/>
        <v>0</v>
      </c>
      <c r="AW13" s="597" t="s">
        <v>560</v>
      </c>
      <c r="AX13" s="598" t="s">
        <v>547</v>
      </c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39"/>
      <c r="BJ13" s="139"/>
      <c r="BK13" s="139"/>
      <c r="BL13" s="139">
        <f t="shared" si="38"/>
        <v>0</v>
      </c>
      <c r="BM13" s="597" t="s">
        <v>560</v>
      </c>
      <c r="BN13" s="598" t="s">
        <v>547</v>
      </c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39"/>
      <c r="BZ13" s="139"/>
      <c r="CA13" s="139"/>
      <c r="CB13" s="139">
        <f t="shared" si="39"/>
        <v>0</v>
      </c>
      <c r="CC13" s="597" t="s">
        <v>560</v>
      </c>
      <c r="CD13" s="598" t="s">
        <v>547</v>
      </c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39"/>
      <c r="CP13" s="139"/>
      <c r="CQ13" s="139"/>
      <c r="CR13" s="139">
        <f t="shared" si="40"/>
        <v>0</v>
      </c>
      <c r="CS13" s="597" t="s">
        <v>560</v>
      </c>
      <c r="CT13" s="598" t="s">
        <v>547</v>
      </c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39"/>
      <c r="DF13" s="139"/>
      <c r="DG13" s="139"/>
      <c r="DH13" s="139">
        <f t="shared" si="41"/>
        <v>0</v>
      </c>
      <c r="DI13" s="597" t="s">
        <v>560</v>
      </c>
      <c r="DJ13" s="598" t="s">
        <v>547</v>
      </c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39"/>
      <c r="DV13" s="139"/>
      <c r="DW13" s="139"/>
      <c r="DX13" s="139">
        <f t="shared" si="42"/>
        <v>0</v>
      </c>
      <c r="DY13" s="597" t="s">
        <v>560</v>
      </c>
      <c r="DZ13" s="598" t="s">
        <v>547</v>
      </c>
      <c r="EA13" s="96">
        <f t="shared" si="43"/>
        <v>0</v>
      </c>
      <c r="EB13" s="96">
        <f t="shared" si="19"/>
        <v>0</v>
      </c>
      <c r="EC13" s="96">
        <f t="shared" si="20"/>
        <v>0</v>
      </c>
      <c r="ED13" s="96">
        <f t="shared" si="21"/>
        <v>0</v>
      </c>
      <c r="EE13" s="96">
        <f t="shared" si="22"/>
        <v>0</v>
      </c>
      <c r="EF13" s="96">
        <f t="shared" si="23"/>
        <v>0</v>
      </c>
      <c r="EG13" s="96">
        <f t="shared" si="24"/>
        <v>0</v>
      </c>
      <c r="EH13" s="96">
        <f t="shared" si="25"/>
        <v>0</v>
      </c>
      <c r="EI13" s="96">
        <f t="shared" si="26"/>
        <v>0</v>
      </c>
      <c r="EJ13" s="96">
        <f t="shared" si="27"/>
        <v>0</v>
      </c>
      <c r="EK13" s="96">
        <f t="shared" si="28"/>
        <v>0</v>
      </c>
      <c r="EL13" s="96">
        <f t="shared" si="29"/>
        <v>0</v>
      </c>
      <c r="EM13" s="96">
        <f t="shared" si="30"/>
        <v>0</v>
      </c>
      <c r="EN13" s="96">
        <f t="shared" si="31"/>
        <v>0</v>
      </c>
      <c r="EO13" s="46"/>
      <c r="EP13" s="44"/>
    </row>
    <row r="14" spans="1:146" s="181" customFormat="1" ht="15" customHeight="1" x14ac:dyDescent="0.25">
      <c r="A14" s="597" t="s">
        <v>561</v>
      </c>
      <c r="B14" s="727" t="s">
        <v>548</v>
      </c>
      <c r="C14" s="370"/>
      <c r="D14" s="144"/>
      <c r="E14" s="370"/>
      <c r="F14" s="370"/>
      <c r="G14" s="370"/>
      <c r="H14" s="370"/>
      <c r="I14" s="370"/>
      <c r="J14" s="370"/>
      <c r="K14" s="370"/>
      <c r="L14" s="370"/>
      <c r="M14" s="168"/>
      <c r="N14" s="168"/>
      <c r="O14" s="168"/>
      <c r="P14" s="168">
        <f t="shared" si="1"/>
        <v>0</v>
      </c>
      <c r="Q14" s="597" t="s">
        <v>561</v>
      </c>
      <c r="R14" s="727" t="s">
        <v>548</v>
      </c>
      <c r="S14" s="144"/>
      <c r="T14" s="144"/>
      <c r="U14" s="144"/>
      <c r="V14" s="144"/>
      <c r="W14" s="370"/>
      <c r="X14" s="144"/>
      <c r="Y14" s="144"/>
      <c r="Z14" s="144"/>
      <c r="AA14" s="144"/>
      <c r="AB14" s="144"/>
      <c r="AC14" s="139"/>
      <c r="AD14" s="139"/>
      <c r="AE14" s="139"/>
      <c r="AF14" s="139">
        <f t="shared" si="36"/>
        <v>0</v>
      </c>
      <c r="AG14" s="597" t="s">
        <v>561</v>
      </c>
      <c r="AH14" s="598" t="s">
        <v>548</v>
      </c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39"/>
      <c r="AT14" s="139"/>
      <c r="AU14" s="139"/>
      <c r="AV14" s="139">
        <f t="shared" si="37"/>
        <v>0</v>
      </c>
      <c r="AW14" s="597" t="s">
        <v>561</v>
      </c>
      <c r="AX14" s="598" t="s">
        <v>548</v>
      </c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39"/>
      <c r="BJ14" s="139"/>
      <c r="BK14" s="139"/>
      <c r="BL14" s="139">
        <f t="shared" si="38"/>
        <v>0</v>
      </c>
      <c r="BM14" s="597" t="s">
        <v>561</v>
      </c>
      <c r="BN14" s="598" t="s">
        <v>548</v>
      </c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39"/>
      <c r="BZ14" s="139"/>
      <c r="CA14" s="139"/>
      <c r="CB14" s="139">
        <f t="shared" si="39"/>
        <v>0</v>
      </c>
      <c r="CC14" s="597" t="s">
        <v>561</v>
      </c>
      <c r="CD14" s="598" t="s">
        <v>548</v>
      </c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39"/>
      <c r="CP14" s="139"/>
      <c r="CQ14" s="139"/>
      <c r="CR14" s="139">
        <f t="shared" si="40"/>
        <v>0</v>
      </c>
      <c r="CS14" s="597" t="s">
        <v>561</v>
      </c>
      <c r="CT14" s="598" t="s">
        <v>548</v>
      </c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39"/>
      <c r="DF14" s="139"/>
      <c r="DG14" s="139"/>
      <c r="DH14" s="139">
        <f t="shared" si="41"/>
        <v>0</v>
      </c>
      <c r="DI14" s="597" t="s">
        <v>561</v>
      </c>
      <c r="DJ14" s="598" t="s">
        <v>548</v>
      </c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39"/>
      <c r="DV14" s="139"/>
      <c r="DW14" s="139"/>
      <c r="DX14" s="139">
        <f t="shared" si="42"/>
        <v>0</v>
      </c>
      <c r="DY14" s="597" t="s">
        <v>561</v>
      </c>
      <c r="DZ14" s="598" t="s">
        <v>548</v>
      </c>
      <c r="EA14" s="96">
        <f t="shared" si="43"/>
        <v>0</v>
      </c>
      <c r="EB14" s="96">
        <f t="shared" si="19"/>
        <v>0</v>
      </c>
      <c r="EC14" s="96">
        <f t="shared" si="20"/>
        <v>0</v>
      </c>
      <c r="ED14" s="96">
        <f t="shared" si="21"/>
        <v>0</v>
      </c>
      <c r="EE14" s="96">
        <f t="shared" si="22"/>
        <v>0</v>
      </c>
      <c r="EF14" s="96">
        <f t="shared" si="23"/>
        <v>0</v>
      </c>
      <c r="EG14" s="96">
        <f t="shared" si="24"/>
        <v>0</v>
      </c>
      <c r="EH14" s="96">
        <f t="shared" si="25"/>
        <v>0</v>
      </c>
      <c r="EI14" s="96">
        <f t="shared" si="26"/>
        <v>0</v>
      </c>
      <c r="EJ14" s="96">
        <f t="shared" si="27"/>
        <v>0</v>
      </c>
      <c r="EK14" s="96">
        <f t="shared" si="28"/>
        <v>0</v>
      </c>
      <c r="EL14" s="96">
        <f t="shared" si="29"/>
        <v>0</v>
      </c>
      <c r="EM14" s="96">
        <f t="shared" si="30"/>
        <v>0</v>
      </c>
      <c r="EN14" s="96">
        <f t="shared" si="31"/>
        <v>0</v>
      </c>
      <c r="EO14" s="46"/>
      <c r="EP14" s="44"/>
    </row>
    <row r="15" spans="1:146" s="181" customFormat="1" ht="15" customHeight="1" x14ac:dyDescent="0.25">
      <c r="A15" s="597" t="s">
        <v>562</v>
      </c>
      <c r="B15" s="727" t="s">
        <v>546</v>
      </c>
      <c r="C15" s="370"/>
      <c r="D15" s="144"/>
      <c r="E15" s="370"/>
      <c r="F15" s="370"/>
      <c r="G15" s="370"/>
      <c r="H15" s="370"/>
      <c r="I15" s="370"/>
      <c r="J15" s="370"/>
      <c r="K15" s="370"/>
      <c r="L15" s="370"/>
      <c r="M15" s="168"/>
      <c r="N15" s="168"/>
      <c r="O15" s="168"/>
      <c r="P15" s="168">
        <f t="shared" si="1"/>
        <v>0</v>
      </c>
      <c r="Q15" s="597" t="s">
        <v>562</v>
      </c>
      <c r="R15" s="727" t="s">
        <v>546</v>
      </c>
      <c r="S15" s="144"/>
      <c r="T15" s="144"/>
      <c r="U15" s="144"/>
      <c r="V15" s="144"/>
      <c r="W15" s="370"/>
      <c r="X15" s="144"/>
      <c r="Y15" s="144"/>
      <c r="Z15" s="144"/>
      <c r="AA15" s="144"/>
      <c r="AB15" s="144"/>
      <c r="AC15" s="139"/>
      <c r="AD15" s="139"/>
      <c r="AE15" s="139"/>
      <c r="AF15" s="139">
        <f t="shared" si="36"/>
        <v>0</v>
      </c>
      <c r="AG15" s="597" t="s">
        <v>562</v>
      </c>
      <c r="AH15" s="598" t="s">
        <v>546</v>
      </c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39"/>
      <c r="AT15" s="139"/>
      <c r="AU15" s="139"/>
      <c r="AV15" s="139">
        <f t="shared" si="37"/>
        <v>0</v>
      </c>
      <c r="AW15" s="597" t="s">
        <v>562</v>
      </c>
      <c r="AX15" s="598" t="s">
        <v>546</v>
      </c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39"/>
      <c r="BJ15" s="139"/>
      <c r="BK15" s="139"/>
      <c r="BL15" s="139">
        <f t="shared" si="38"/>
        <v>0</v>
      </c>
      <c r="BM15" s="597" t="s">
        <v>562</v>
      </c>
      <c r="BN15" s="598" t="s">
        <v>546</v>
      </c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39"/>
      <c r="BZ15" s="139"/>
      <c r="CA15" s="139"/>
      <c r="CB15" s="139">
        <f t="shared" si="39"/>
        <v>0</v>
      </c>
      <c r="CC15" s="597" t="s">
        <v>562</v>
      </c>
      <c r="CD15" s="598" t="s">
        <v>546</v>
      </c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39"/>
      <c r="CP15" s="139"/>
      <c r="CQ15" s="139"/>
      <c r="CR15" s="139">
        <f t="shared" si="40"/>
        <v>0</v>
      </c>
      <c r="CS15" s="597" t="s">
        <v>562</v>
      </c>
      <c r="CT15" s="598" t="s">
        <v>546</v>
      </c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39"/>
      <c r="DF15" s="139"/>
      <c r="DG15" s="139"/>
      <c r="DH15" s="139">
        <f t="shared" si="41"/>
        <v>0</v>
      </c>
      <c r="DI15" s="597" t="s">
        <v>562</v>
      </c>
      <c r="DJ15" s="598" t="s">
        <v>546</v>
      </c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39"/>
      <c r="DV15" s="139"/>
      <c r="DW15" s="139"/>
      <c r="DX15" s="139">
        <f t="shared" si="42"/>
        <v>0</v>
      </c>
      <c r="DY15" s="597" t="s">
        <v>562</v>
      </c>
      <c r="DZ15" s="598" t="s">
        <v>546</v>
      </c>
      <c r="EA15" s="96">
        <f t="shared" si="43"/>
        <v>0</v>
      </c>
      <c r="EB15" s="96">
        <f t="shared" si="19"/>
        <v>0</v>
      </c>
      <c r="EC15" s="96">
        <f t="shared" si="20"/>
        <v>0</v>
      </c>
      <c r="ED15" s="96">
        <f t="shared" si="21"/>
        <v>0</v>
      </c>
      <c r="EE15" s="96">
        <f t="shared" si="22"/>
        <v>0</v>
      </c>
      <c r="EF15" s="96">
        <f t="shared" si="23"/>
        <v>0</v>
      </c>
      <c r="EG15" s="96">
        <f t="shared" si="24"/>
        <v>0</v>
      </c>
      <c r="EH15" s="96">
        <f t="shared" si="25"/>
        <v>0</v>
      </c>
      <c r="EI15" s="96">
        <f t="shared" si="26"/>
        <v>0</v>
      </c>
      <c r="EJ15" s="96">
        <f t="shared" si="27"/>
        <v>0</v>
      </c>
      <c r="EK15" s="96">
        <f t="shared" si="28"/>
        <v>0</v>
      </c>
      <c r="EL15" s="96">
        <f t="shared" si="29"/>
        <v>0</v>
      </c>
      <c r="EM15" s="96">
        <f t="shared" si="30"/>
        <v>0</v>
      </c>
      <c r="EN15" s="96">
        <f t="shared" si="31"/>
        <v>0</v>
      </c>
      <c r="EO15" s="46"/>
      <c r="EP15" s="44"/>
    </row>
    <row r="16" spans="1:146" s="181" customFormat="1" ht="15" customHeight="1" x14ac:dyDescent="0.25">
      <c r="A16" s="597" t="s">
        <v>563</v>
      </c>
      <c r="B16" s="727" t="s">
        <v>556</v>
      </c>
      <c r="C16" s="370"/>
      <c r="D16" s="144"/>
      <c r="E16" s="370"/>
      <c r="F16" s="370"/>
      <c r="G16" s="370"/>
      <c r="H16" s="370"/>
      <c r="I16" s="370"/>
      <c r="J16" s="370"/>
      <c r="K16" s="370"/>
      <c r="L16" s="370"/>
      <c r="M16" s="168"/>
      <c r="N16" s="168"/>
      <c r="O16" s="168"/>
      <c r="P16" s="168">
        <f t="shared" si="1"/>
        <v>0</v>
      </c>
      <c r="Q16" s="597" t="s">
        <v>563</v>
      </c>
      <c r="R16" s="727" t="s">
        <v>556</v>
      </c>
      <c r="S16" s="144"/>
      <c r="T16" s="144"/>
      <c r="U16" s="144"/>
      <c r="V16" s="144"/>
      <c r="W16" s="370"/>
      <c r="X16" s="144"/>
      <c r="Y16" s="144"/>
      <c r="Z16" s="144"/>
      <c r="AA16" s="144"/>
      <c r="AB16" s="144"/>
      <c r="AC16" s="139"/>
      <c r="AD16" s="139"/>
      <c r="AE16" s="139"/>
      <c r="AF16" s="139">
        <f t="shared" si="36"/>
        <v>0</v>
      </c>
      <c r="AG16" s="597" t="s">
        <v>563</v>
      </c>
      <c r="AH16" s="598" t="s">
        <v>556</v>
      </c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39"/>
      <c r="AT16" s="139"/>
      <c r="AU16" s="139"/>
      <c r="AV16" s="139">
        <f t="shared" si="37"/>
        <v>0</v>
      </c>
      <c r="AW16" s="597" t="s">
        <v>563</v>
      </c>
      <c r="AX16" s="598" t="s">
        <v>556</v>
      </c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39"/>
      <c r="BJ16" s="139"/>
      <c r="BK16" s="139"/>
      <c r="BL16" s="139">
        <f t="shared" si="38"/>
        <v>0</v>
      </c>
      <c r="BM16" s="597" t="s">
        <v>563</v>
      </c>
      <c r="BN16" s="598" t="s">
        <v>556</v>
      </c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39"/>
      <c r="BZ16" s="139"/>
      <c r="CA16" s="139"/>
      <c r="CB16" s="139">
        <f t="shared" si="39"/>
        <v>0</v>
      </c>
      <c r="CC16" s="597" t="s">
        <v>563</v>
      </c>
      <c r="CD16" s="598" t="s">
        <v>556</v>
      </c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39"/>
      <c r="CP16" s="139"/>
      <c r="CQ16" s="139"/>
      <c r="CR16" s="139">
        <f t="shared" si="40"/>
        <v>0</v>
      </c>
      <c r="CS16" s="597" t="s">
        <v>563</v>
      </c>
      <c r="CT16" s="598" t="s">
        <v>556</v>
      </c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39"/>
      <c r="DF16" s="139"/>
      <c r="DG16" s="139"/>
      <c r="DH16" s="139">
        <f t="shared" si="41"/>
        <v>0</v>
      </c>
      <c r="DI16" s="597" t="s">
        <v>563</v>
      </c>
      <c r="DJ16" s="598" t="s">
        <v>556</v>
      </c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39"/>
      <c r="DV16" s="139"/>
      <c r="DW16" s="139"/>
      <c r="DX16" s="139">
        <f t="shared" si="42"/>
        <v>0</v>
      </c>
      <c r="DY16" s="597" t="s">
        <v>563</v>
      </c>
      <c r="DZ16" s="598" t="s">
        <v>556</v>
      </c>
      <c r="EA16" s="96">
        <f t="shared" si="43"/>
        <v>0</v>
      </c>
      <c r="EB16" s="96">
        <f t="shared" si="19"/>
        <v>0</v>
      </c>
      <c r="EC16" s="96">
        <f t="shared" si="20"/>
        <v>0</v>
      </c>
      <c r="ED16" s="96">
        <f t="shared" si="21"/>
        <v>0</v>
      </c>
      <c r="EE16" s="96">
        <f t="shared" si="22"/>
        <v>0</v>
      </c>
      <c r="EF16" s="96">
        <f t="shared" si="23"/>
        <v>0</v>
      </c>
      <c r="EG16" s="96">
        <f t="shared" si="24"/>
        <v>0</v>
      </c>
      <c r="EH16" s="96">
        <f t="shared" si="25"/>
        <v>0</v>
      </c>
      <c r="EI16" s="96">
        <f t="shared" si="26"/>
        <v>0</v>
      </c>
      <c r="EJ16" s="96">
        <f t="shared" si="27"/>
        <v>0</v>
      </c>
      <c r="EK16" s="96">
        <f t="shared" si="28"/>
        <v>0</v>
      </c>
      <c r="EL16" s="96">
        <f t="shared" si="29"/>
        <v>0</v>
      </c>
      <c r="EM16" s="96">
        <f t="shared" si="30"/>
        <v>0</v>
      </c>
      <c r="EN16" s="96">
        <f t="shared" si="31"/>
        <v>0</v>
      </c>
      <c r="EO16" s="46"/>
      <c r="EP16" s="44"/>
    </row>
    <row r="17" spans="1:146" s="181" customFormat="1" ht="15" customHeight="1" x14ac:dyDescent="0.25">
      <c r="A17" s="597" t="s">
        <v>564</v>
      </c>
      <c r="B17" s="727" t="s">
        <v>555</v>
      </c>
      <c r="C17" s="370"/>
      <c r="D17" s="144"/>
      <c r="E17" s="370"/>
      <c r="F17" s="370"/>
      <c r="G17" s="370"/>
      <c r="H17" s="370"/>
      <c r="I17" s="370"/>
      <c r="J17" s="370"/>
      <c r="K17" s="370"/>
      <c r="L17" s="370"/>
      <c r="M17" s="168"/>
      <c r="N17" s="168"/>
      <c r="O17" s="168"/>
      <c r="P17" s="168">
        <f t="shared" si="1"/>
        <v>0</v>
      </c>
      <c r="Q17" s="597" t="s">
        <v>564</v>
      </c>
      <c r="R17" s="727" t="s">
        <v>555</v>
      </c>
      <c r="S17" s="144"/>
      <c r="T17" s="144"/>
      <c r="U17" s="144"/>
      <c r="V17" s="144"/>
      <c r="W17" s="370"/>
      <c r="X17" s="144"/>
      <c r="Y17" s="144"/>
      <c r="Z17" s="144"/>
      <c r="AA17" s="144"/>
      <c r="AB17" s="144"/>
      <c r="AC17" s="139"/>
      <c r="AD17" s="139"/>
      <c r="AE17" s="139"/>
      <c r="AF17" s="139">
        <f t="shared" si="36"/>
        <v>0</v>
      </c>
      <c r="AG17" s="597" t="s">
        <v>564</v>
      </c>
      <c r="AH17" s="598" t="s">
        <v>555</v>
      </c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39"/>
      <c r="AT17" s="139"/>
      <c r="AU17" s="139"/>
      <c r="AV17" s="139">
        <f t="shared" si="37"/>
        <v>0</v>
      </c>
      <c r="AW17" s="597" t="s">
        <v>564</v>
      </c>
      <c r="AX17" s="598" t="s">
        <v>555</v>
      </c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39"/>
      <c r="BJ17" s="139"/>
      <c r="BK17" s="139"/>
      <c r="BL17" s="139">
        <f t="shared" si="38"/>
        <v>0</v>
      </c>
      <c r="BM17" s="597" t="s">
        <v>564</v>
      </c>
      <c r="BN17" s="598" t="s">
        <v>555</v>
      </c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39"/>
      <c r="BZ17" s="139"/>
      <c r="CA17" s="139"/>
      <c r="CB17" s="139">
        <f t="shared" si="39"/>
        <v>0</v>
      </c>
      <c r="CC17" s="597" t="s">
        <v>564</v>
      </c>
      <c r="CD17" s="598" t="s">
        <v>555</v>
      </c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39"/>
      <c r="CP17" s="139"/>
      <c r="CQ17" s="139"/>
      <c r="CR17" s="139">
        <f t="shared" si="40"/>
        <v>0</v>
      </c>
      <c r="CS17" s="597" t="s">
        <v>564</v>
      </c>
      <c r="CT17" s="598" t="s">
        <v>555</v>
      </c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39"/>
      <c r="DF17" s="139"/>
      <c r="DG17" s="139"/>
      <c r="DH17" s="139">
        <f t="shared" si="41"/>
        <v>0</v>
      </c>
      <c r="DI17" s="597" t="s">
        <v>564</v>
      </c>
      <c r="DJ17" s="598" t="s">
        <v>555</v>
      </c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39"/>
      <c r="DV17" s="139"/>
      <c r="DW17" s="139"/>
      <c r="DX17" s="139">
        <f t="shared" si="42"/>
        <v>0</v>
      </c>
      <c r="DY17" s="597" t="s">
        <v>564</v>
      </c>
      <c r="DZ17" s="598" t="s">
        <v>555</v>
      </c>
      <c r="EA17" s="96">
        <f t="shared" si="43"/>
        <v>0</v>
      </c>
      <c r="EB17" s="96">
        <f t="shared" si="19"/>
        <v>0</v>
      </c>
      <c r="EC17" s="96">
        <f t="shared" si="20"/>
        <v>0</v>
      </c>
      <c r="ED17" s="96">
        <f t="shared" si="21"/>
        <v>0</v>
      </c>
      <c r="EE17" s="96">
        <f t="shared" si="22"/>
        <v>0</v>
      </c>
      <c r="EF17" s="96">
        <f t="shared" si="23"/>
        <v>0</v>
      </c>
      <c r="EG17" s="96">
        <f t="shared" si="24"/>
        <v>0</v>
      </c>
      <c r="EH17" s="96">
        <f t="shared" si="25"/>
        <v>0</v>
      </c>
      <c r="EI17" s="96">
        <f t="shared" si="26"/>
        <v>0</v>
      </c>
      <c r="EJ17" s="96">
        <f t="shared" si="27"/>
        <v>0</v>
      </c>
      <c r="EK17" s="96">
        <f t="shared" si="28"/>
        <v>0</v>
      </c>
      <c r="EL17" s="96">
        <f t="shared" si="29"/>
        <v>0</v>
      </c>
      <c r="EM17" s="96">
        <f t="shared" si="30"/>
        <v>0</v>
      </c>
      <c r="EN17" s="96">
        <f t="shared" si="31"/>
        <v>0</v>
      </c>
      <c r="EO17" s="46"/>
      <c r="EP17" s="44"/>
    </row>
    <row r="18" spans="1:146" s="181" customFormat="1" ht="15" customHeight="1" x14ac:dyDescent="0.25">
      <c r="A18" s="597" t="s">
        <v>565</v>
      </c>
      <c r="B18" s="727" t="s">
        <v>557</v>
      </c>
      <c r="C18" s="370"/>
      <c r="D18" s="144"/>
      <c r="E18" s="370"/>
      <c r="F18" s="370"/>
      <c r="G18" s="370"/>
      <c r="H18" s="370"/>
      <c r="I18" s="370"/>
      <c r="J18" s="370"/>
      <c r="K18" s="370"/>
      <c r="L18" s="370"/>
      <c r="M18" s="168"/>
      <c r="N18" s="168"/>
      <c r="O18" s="168"/>
      <c r="P18" s="168">
        <f t="shared" si="1"/>
        <v>0</v>
      </c>
      <c r="Q18" s="597" t="s">
        <v>565</v>
      </c>
      <c r="R18" s="727" t="s">
        <v>557</v>
      </c>
      <c r="S18" s="144"/>
      <c r="T18" s="144"/>
      <c r="U18" s="144"/>
      <c r="V18" s="144"/>
      <c r="W18" s="370"/>
      <c r="X18" s="144"/>
      <c r="Y18" s="144"/>
      <c r="Z18" s="144"/>
      <c r="AA18" s="144"/>
      <c r="AB18" s="144"/>
      <c r="AC18" s="139"/>
      <c r="AD18" s="139"/>
      <c r="AE18" s="139"/>
      <c r="AF18" s="139">
        <f t="shared" si="36"/>
        <v>0</v>
      </c>
      <c r="AG18" s="597" t="s">
        <v>565</v>
      </c>
      <c r="AH18" s="598" t="s">
        <v>557</v>
      </c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39"/>
      <c r="AT18" s="139"/>
      <c r="AU18" s="139"/>
      <c r="AV18" s="139">
        <f t="shared" si="37"/>
        <v>0</v>
      </c>
      <c r="AW18" s="597" t="s">
        <v>565</v>
      </c>
      <c r="AX18" s="598" t="s">
        <v>557</v>
      </c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39"/>
      <c r="BJ18" s="139"/>
      <c r="BK18" s="139"/>
      <c r="BL18" s="139">
        <f t="shared" si="38"/>
        <v>0</v>
      </c>
      <c r="BM18" s="597" t="s">
        <v>565</v>
      </c>
      <c r="BN18" s="598" t="s">
        <v>557</v>
      </c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39"/>
      <c r="BZ18" s="139"/>
      <c r="CA18" s="139"/>
      <c r="CB18" s="139">
        <f t="shared" si="39"/>
        <v>0</v>
      </c>
      <c r="CC18" s="597" t="s">
        <v>565</v>
      </c>
      <c r="CD18" s="598" t="s">
        <v>557</v>
      </c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39"/>
      <c r="CP18" s="139"/>
      <c r="CQ18" s="139"/>
      <c r="CR18" s="139">
        <f t="shared" si="40"/>
        <v>0</v>
      </c>
      <c r="CS18" s="597" t="s">
        <v>565</v>
      </c>
      <c r="CT18" s="598" t="s">
        <v>557</v>
      </c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39"/>
      <c r="DF18" s="139"/>
      <c r="DG18" s="139"/>
      <c r="DH18" s="139">
        <f t="shared" si="41"/>
        <v>0</v>
      </c>
      <c r="DI18" s="597" t="s">
        <v>565</v>
      </c>
      <c r="DJ18" s="598" t="s">
        <v>557</v>
      </c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  <c r="DU18" s="139"/>
      <c r="DV18" s="139"/>
      <c r="DW18" s="139"/>
      <c r="DX18" s="139">
        <f t="shared" si="42"/>
        <v>0</v>
      </c>
      <c r="DY18" s="597" t="s">
        <v>565</v>
      </c>
      <c r="DZ18" s="598" t="s">
        <v>557</v>
      </c>
      <c r="EA18" s="96">
        <f t="shared" si="43"/>
        <v>0</v>
      </c>
      <c r="EB18" s="96">
        <f t="shared" si="19"/>
        <v>0</v>
      </c>
      <c r="EC18" s="96">
        <f t="shared" si="20"/>
        <v>0</v>
      </c>
      <c r="ED18" s="96">
        <f t="shared" si="21"/>
        <v>0</v>
      </c>
      <c r="EE18" s="96">
        <f t="shared" si="22"/>
        <v>0</v>
      </c>
      <c r="EF18" s="96">
        <f t="shared" si="23"/>
        <v>0</v>
      </c>
      <c r="EG18" s="96">
        <f t="shared" si="24"/>
        <v>0</v>
      </c>
      <c r="EH18" s="96">
        <f t="shared" si="25"/>
        <v>0</v>
      </c>
      <c r="EI18" s="96">
        <f t="shared" si="26"/>
        <v>0</v>
      </c>
      <c r="EJ18" s="96">
        <f t="shared" si="27"/>
        <v>0</v>
      </c>
      <c r="EK18" s="96">
        <f t="shared" si="28"/>
        <v>0</v>
      </c>
      <c r="EL18" s="96">
        <f t="shared" si="29"/>
        <v>0</v>
      </c>
      <c r="EM18" s="96">
        <f t="shared" si="30"/>
        <v>0</v>
      </c>
      <c r="EN18" s="96">
        <f t="shared" si="31"/>
        <v>0</v>
      </c>
      <c r="EO18" s="46"/>
      <c r="EP18" s="44"/>
    </row>
    <row r="19" spans="1:146" ht="15" customHeight="1" x14ac:dyDescent="0.25">
      <c r="A19" s="590" t="s">
        <v>16</v>
      </c>
      <c r="B19" s="728" t="s">
        <v>88</v>
      </c>
      <c r="C19" s="370">
        <v>8334000</v>
      </c>
      <c r="D19" s="144">
        <v>8334000</v>
      </c>
      <c r="E19" s="370">
        <v>6000000</v>
      </c>
      <c r="F19" s="370">
        <v>7649019</v>
      </c>
      <c r="G19" s="370">
        <v>0</v>
      </c>
      <c r="H19" s="370">
        <v>0</v>
      </c>
      <c r="I19" s="370">
        <v>0</v>
      </c>
      <c r="J19" s="370">
        <v>0</v>
      </c>
      <c r="K19" s="370">
        <v>0</v>
      </c>
      <c r="L19" s="370">
        <v>0</v>
      </c>
      <c r="M19" s="168">
        <f t="shared" si="32"/>
        <v>8334000</v>
      </c>
      <c r="N19" s="168">
        <f t="shared" ref="N19:N24" si="46">D19+H19+L19</f>
        <v>8334000</v>
      </c>
      <c r="O19" s="168">
        <f t="shared" ref="O19:O24" si="47">E19+I19+M19</f>
        <v>14334000</v>
      </c>
      <c r="P19" s="168">
        <f t="shared" si="1"/>
        <v>7649019</v>
      </c>
      <c r="Q19" s="590" t="s">
        <v>16</v>
      </c>
      <c r="R19" s="728" t="s">
        <v>88</v>
      </c>
      <c r="S19" s="52">
        <v>4250000</v>
      </c>
      <c r="T19" s="144">
        <v>4250000</v>
      </c>
      <c r="U19" s="144">
        <v>600000</v>
      </c>
      <c r="V19" s="52">
        <v>4250000</v>
      </c>
      <c r="W19" s="370">
        <v>0</v>
      </c>
      <c r="X19" s="144">
        <v>0</v>
      </c>
      <c r="Y19" s="144">
        <v>0</v>
      </c>
      <c r="Z19" s="144">
        <v>0</v>
      </c>
      <c r="AA19" s="52">
        <v>0</v>
      </c>
      <c r="AB19" s="144">
        <v>0</v>
      </c>
      <c r="AC19" s="17">
        <f t="shared" si="33"/>
        <v>4250000</v>
      </c>
      <c r="AD19" s="139">
        <f t="shared" si="34"/>
        <v>4250000</v>
      </c>
      <c r="AE19" s="139">
        <f t="shared" si="35"/>
        <v>600000</v>
      </c>
      <c r="AF19" s="139">
        <f t="shared" si="36"/>
        <v>4250000</v>
      </c>
      <c r="AG19" s="590" t="s">
        <v>16</v>
      </c>
      <c r="AH19" s="599" t="s">
        <v>88</v>
      </c>
      <c r="AI19" s="52">
        <v>7926000</v>
      </c>
      <c r="AJ19" s="144">
        <v>7926000</v>
      </c>
      <c r="AK19" s="144">
        <v>2226333</v>
      </c>
      <c r="AL19" s="144">
        <v>2923646</v>
      </c>
      <c r="AM19" s="52">
        <v>0</v>
      </c>
      <c r="AN19" s="144">
        <v>0</v>
      </c>
      <c r="AO19" s="144">
        <v>0</v>
      </c>
      <c r="AP19" s="144">
        <v>0</v>
      </c>
      <c r="AQ19" s="52">
        <v>0</v>
      </c>
      <c r="AR19" s="144">
        <v>0</v>
      </c>
      <c r="AS19" s="17">
        <f t="shared" si="2"/>
        <v>7926000</v>
      </c>
      <c r="AT19" s="139">
        <f t="shared" si="3"/>
        <v>7926000</v>
      </c>
      <c r="AU19" s="139">
        <f t="shared" si="4"/>
        <v>2226333</v>
      </c>
      <c r="AV19" s="139">
        <f t="shared" si="37"/>
        <v>2923646</v>
      </c>
      <c r="AW19" s="590" t="s">
        <v>16</v>
      </c>
      <c r="AX19" s="599" t="s">
        <v>88</v>
      </c>
      <c r="AY19" s="52">
        <v>13215000</v>
      </c>
      <c r="AZ19" s="144">
        <v>13215000</v>
      </c>
      <c r="BA19" s="144">
        <v>10000000</v>
      </c>
      <c r="BB19" s="144">
        <v>13185233</v>
      </c>
      <c r="BC19" s="52">
        <v>0</v>
      </c>
      <c r="BD19" s="144">
        <v>0</v>
      </c>
      <c r="BE19" s="144">
        <v>0</v>
      </c>
      <c r="BF19" s="144">
        <v>0</v>
      </c>
      <c r="BG19" s="52">
        <v>0</v>
      </c>
      <c r="BH19" s="144">
        <v>0</v>
      </c>
      <c r="BI19" s="17">
        <f t="shared" si="5"/>
        <v>13215000</v>
      </c>
      <c r="BJ19" s="139">
        <f t="shared" si="6"/>
        <v>13215000</v>
      </c>
      <c r="BK19" s="139">
        <f t="shared" si="7"/>
        <v>10000000</v>
      </c>
      <c r="BL19" s="139">
        <f t="shared" si="38"/>
        <v>13185233</v>
      </c>
      <c r="BM19" s="590" t="s">
        <v>16</v>
      </c>
      <c r="BN19" s="599" t="s">
        <v>88</v>
      </c>
      <c r="BO19" s="144">
        <v>4889000</v>
      </c>
      <c r="BP19" s="144">
        <v>4889000</v>
      </c>
      <c r="BQ19" s="144">
        <v>3500000</v>
      </c>
      <c r="BR19" s="144">
        <v>4889000</v>
      </c>
      <c r="BS19" s="52">
        <v>0</v>
      </c>
      <c r="BT19" s="144">
        <v>0</v>
      </c>
      <c r="BU19" s="144">
        <v>0</v>
      </c>
      <c r="BV19" s="144">
        <v>0</v>
      </c>
      <c r="BW19" s="52">
        <v>0</v>
      </c>
      <c r="BX19" s="144">
        <v>0</v>
      </c>
      <c r="BY19" s="17">
        <f t="shared" si="8"/>
        <v>4889000</v>
      </c>
      <c r="BZ19" s="139">
        <f t="shared" si="9"/>
        <v>4889000</v>
      </c>
      <c r="CA19" s="139">
        <f t="shared" ref="CA19:CA34" si="48">BQ19+BU19+BX19</f>
        <v>3500000</v>
      </c>
      <c r="CB19" s="139">
        <f t="shared" si="39"/>
        <v>4889000</v>
      </c>
      <c r="CC19" s="590" t="s">
        <v>16</v>
      </c>
      <c r="CD19" s="599" t="s">
        <v>88</v>
      </c>
      <c r="CE19" s="52">
        <v>14600000</v>
      </c>
      <c r="CF19" s="144">
        <v>14600000</v>
      </c>
      <c r="CG19" s="144">
        <v>6806000</v>
      </c>
      <c r="CH19" s="144">
        <v>9600000</v>
      </c>
      <c r="CI19" s="52">
        <v>0</v>
      </c>
      <c r="CJ19" s="144">
        <v>0</v>
      </c>
      <c r="CK19" s="144">
        <v>0</v>
      </c>
      <c r="CL19" s="144">
        <v>0</v>
      </c>
      <c r="CM19" s="52">
        <v>0</v>
      </c>
      <c r="CN19" s="144">
        <v>0</v>
      </c>
      <c r="CO19" s="17">
        <f t="shared" si="10"/>
        <v>14600000</v>
      </c>
      <c r="CP19" s="139">
        <f t="shared" si="11"/>
        <v>14600000</v>
      </c>
      <c r="CQ19" s="139">
        <f t="shared" si="12"/>
        <v>6806000</v>
      </c>
      <c r="CR19" s="139">
        <f t="shared" si="40"/>
        <v>9600000</v>
      </c>
      <c r="CS19" s="590" t="s">
        <v>16</v>
      </c>
      <c r="CT19" s="599" t="s">
        <v>88</v>
      </c>
      <c r="CU19" s="144">
        <v>1300000</v>
      </c>
      <c r="CV19" s="144">
        <v>1300000</v>
      </c>
      <c r="CW19" s="144">
        <v>565000</v>
      </c>
      <c r="CX19" s="144">
        <v>1068233</v>
      </c>
      <c r="CY19" s="144">
        <v>0</v>
      </c>
      <c r="CZ19" s="144">
        <v>0</v>
      </c>
      <c r="DA19" s="144">
        <v>0</v>
      </c>
      <c r="DB19" s="144">
        <v>0</v>
      </c>
      <c r="DC19" s="144">
        <v>0</v>
      </c>
      <c r="DD19" s="144">
        <v>0</v>
      </c>
      <c r="DE19" s="139">
        <f t="shared" si="13"/>
        <v>1300000</v>
      </c>
      <c r="DF19" s="139">
        <f t="shared" si="14"/>
        <v>1300000</v>
      </c>
      <c r="DG19" s="139">
        <f t="shared" si="15"/>
        <v>565000</v>
      </c>
      <c r="DH19" s="139">
        <f t="shared" si="41"/>
        <v>1068233</v>
      </c>
      <c r="DI19" s="590" t="s">
        <v>16</v>
      </c>
      <c r="DJ19" s="599" t="s">
        <v>88</v>
      </c>
      <c r="DK19" s="144">
        <v>0</v>
      </c>
      <c r="DL19" s="144">
        <v>0</v>
      </c>
      <c r="DM19" s="144">
        <f>3376181+220</f>
        <v>3376401</v>
      </c>
      <c r="DN19" s="144">
        <v>0</v>
      </c>
      <c r="DO19" s="144">
        <v>0</v>
      </c>
      <c r="DP19" s="144">
        <v>0</v>
      </c>
      <c r="DQ19" s="144">
        <v>0</v>
      </c>
      <c r="DR19" s="144">
        <v>0</v>
      </c>
      <c r="DS19" s="144">
        <v>0</v>
      </c>
      <c r="DT19" s="144">
        <v>0</v>
      </c>
      <c r="DU19" s="139">
        <f t="shared" si="16"/>
        <v>0</v>
      </c>
      <c r="DV19" s="139">
        <f t="shared" si="17"/>
        <v>0</v>
      </c>
      <c r="DW19" s="139">
        <f t="shared" si="18"/>
        <v>3376401</v>
      </c>
      <c r="DX19" s="139">
        <f t="shared" si="42"/>
        <v>0</v>
      </c>
      <c r="DY19" s="590" t="s">
        <v>16</v>
      </c>
      <c r="DZ19" s="599" t="s">
        <v>88</v>
      </c>
      <c r="EA19" s="96">
        <f t="shared" si="43"/>
        <v>54514000</v>
      </c>
      <c r="EB19" s="96">
        <f t="shared" si="19"/>
        <v>54514000</v>
      </c>
      <c r="EC19" s="96">
        <f t="shared" si="20"/>
        <v>33073734</v>
      </c>
      <c r="ED19" s="96">
        <f t="shared" si="21"/>
        <v>43565131</v>
      </c>
      <c r="EE19" s="96">
        <f t="shared" si="22"/>
        <v>0</v>
      </c>
      <c r="EF19" s="96">
        <f t="shared" si="23"/>
        <v>0</v>
      </c>
      <c r="EG19" s="96">
        <f t="shared" si="24"/>
        <v>0</v>
      </c>
      <c r="EH19" s="96">
        <f t="shared" si="25"/>
        <v>0</v>
      </c>
      <c r="EI19" s="96">
        <f t="shared" si="26"/>
        <v>0</v>
      </c>
      <c r="EJ19" s="96">
        <f t="shared" si="27"/>
        <v>0</v>
      </c>
      <c r="EK19" s="96">
        <f t="shared" si="28"/>
        <v>54514000</v>
      </c>
      <c r="EL19" s="96">
        <f t="shared" si="29"/>
        <v>54514000</v>
      </c>
      <c r="EM19" s="96">
        <f t="shared" si="30"/>
        <v>41407734</v>
      </c>
      <c r="EN19" s="96">
        <f t="shared" si="31"/>
        <v>43565131</v>
      </c>
      <c r="EO19" s="50"/>
      <c r="EP19" s="50"/>
    </row>
    <row r="20" spans="1:146" ht="15" customHeight="1" x14ac:dyDescent="0.25">
      <c r="A20" s="590" t="s">
        <v>17</v>
      </c>
      <c r="B20" s="728" t="s">
        <v>89</v>
      </c>
      <c r="C20" s="370">
        <v>0</v>
      </c>
      <c r="D20" s="144">
        <v>0</v>
      </c>
      <c r="E20" s="370">
        <v>0</v>
      </c>
      <c r="F20" s="370">
        <v>0</v>
      </c>
      <c r="G20" s="370">
        <v>0</v>
      </c>
      <c r="H20" s="370">
        <v>0</v>
      </c>
      <c r="I20" s="370">
        <v>0</v>
      </c>
      <c r="J20" s="370">
        <v>0</v>
      </c>
      <c r="K20" s="370">
        <v>0</v>
      </c>
      <c r="L20" s="370">
        <v>0</v>
      </c>
      <c r="M20" s="168">
        <f t="shared" si="32"/>
        <v>0</v>
      </c>
      <c r="N20" s="168">
        <f t="shared" si="46"/>
        <v>0</v>
      </c>
      <c r="O20" s="168">
        <f t="shared" si="47"/>
        <v>0</v>
      </c>
      <c r="P20" s="168">
        <f t="shared" si="1"/>
        <v>0</v>
      </c>
      <c r="Q20" s="590" t="s">
        <v>17</v>
      </c>
      <c r="R20" s="728" t="s">
        <v>89</v>
      </c>
      <c r="S20" s="52">
        <v>0</v>
      </c>
      <c r="T20" s="144">
        <v>0</v>
      </c>
      <c r="U20" s="144">
        <v>0</v>
      </c>
      <c r="V20" s="52">
        <v>0</v>
      </c>
      <c r="W20" s="370">
        <v>0</v>
      </c>
      <c r="X20" s="144">
        <v>0</v>
      </c>
      <c r="Y20" s="144">
        <v>0</v>
      </c>
      <c r="Z20" s="144">
        <v>0</v>
      </c>
      <c r="AA20" s="52">
        <v>0</v>
      </c>
      <c r="AB20" s="144">
        <v>0</v>
      </c>
      <c r="AC20" s="17">
        <f t="shared" si="33"/>
        <v>0</v>
      </c>
      <c r="AD20" s="139">
        <f t="shared" si="34"/>
        <v>0</v>
      </c>
      <c r="AE20" s="139">
        <f t="shared" si="35"/>
        <v>0</v>
      </c>
      <c r="AF20" s="139">
        <f t="shared" si="36"/>
        <v>0</v>
      </c>
      <c r="AG20" s="590" t="s">
        <v>17</v>
      </c>
      <c r="AH20" s="599" t="s">
        <v>89</v>
      </c>
      <c r="AI20" s="52">
        <v>0</v>
      </c>
      <c r="AJ20" s="144">
        <v>0</v>
      </c>
      <c r="AK20" s="144">
        <v>0</v>
      </c>
      <c r="AL20" s="144"/>
      <c r="AM20" s="52">
        <v>0</v>
      </c>
      <c r="AN20" s="144">
        <v>0</v>
      </c>
      <c r="AO20" s="144">
        <v>0</v>
      </c>
      <c r="AP20" s="144">
        <v>0</v>
      </c>
      <c r="AQ20" s="52">
        <v>0</v>
      </c>
      <c r="AR20" s="144">
        <v>0</v>
      </c>
      <c r="AS20" s="17">
        <f t="shared" si="2"/>
        <v>0</v>
      </c>
      <c r="AT20" s="139">
        <f t="shared" si="3"/>
        <v>0</v>
      </c>
      <c r="AU20" s="139">
        <f t="shared" si="4"/>
        <v>0</v>
      </c>
      <c r="AV20" s="139">
        <f t="shared" si="37"/>
        <v>0</v>
      </c>
      <c r="AW20" s="590" t="s">
        <v>17</v>
      </c>
      <c r="AX20" s="599" t="s">
        <v>89</v>
      </c>
      <c r="AY20" s="52">
        <v>0</v>
      </c>
      <c r="AZ20" s="144">
        <v>0</v>
      </c>
      <c r="BA20" s="144">
        <v>0</v>
      </c>
      <c r="BB20" s="144"/>
      <c r="BC20" s="52">
        <v>0</v>
      </c>
      <c r="BD20" s="144">
        <v>0</v>
      </c>
      <c r="BE20" s="144">
        <v>0</v>
      </c>
      <c r="BF20" s="144">
        <v>0</v>
      </c>
      <c r="BG20" s="52">
        <v>0</v>
      </c>
      <c r="BH20" s="144">
        <v>0</v>
      </c>
      <c r="BI20" s="17">
        <f t="shared" si="5"/>
        <v>0</v>
      </c>
      <c r="BJ20" s="139">
        <f t="shared" si="6"/>
        <v>0</v>
      </c>
      <c r="BK20" s="139">
        <f t="shared" si="7"/>
        <v>0</v>
      </c>
      <c r="BL20" s="139">
        <f t="shared" si="38"/>
        <v>0</v>
      </c>
      <c r="BM20" s="590" t="s">
        <v>17</v>
      </c>
      <c r="BN20" s="599" t="s">
        <v>89</v>
      </c>
      <c r="BO20" s="52">
        <v>0</v>
      </c>
      <c r="BP20" s="144">
        <v>0</v>
      </c>
      <c r="BQ20" s="144">
        <v>0</v>
      </c>
      <c r="BR20" s="144"/>
      <c r="BS20" s="52">
        <v>0</v>
      </c>
      <c r="BT20" s="144">
        <v>0</v>
      </c>
      <c r="BU20" s="144">
        <v>0</v>
      </c>
      <c r="BV20" s="144">
        <v>0</v>
      </c>
      <c r="BW20" s="52">
        <v>0</v>
      </c>
      <c r="BX20" s="144">
        <v>0</v>
      </c>
      <c r="BY20" s="17">
        <f t="shared" si="8"/>
        <v>0</v>
      </c>
      <c r="BZ20" s="139">
        <f t="shared" si="9"/>
        <v>0</v>
      </c>
      <c r="CA20" s="139">
        <f t="shared" si="48"/>
        <v>0</v>
      </c>
      <c r="CB20" s="139">
        <f t="shared" si="39"/>
        <v>0</v>
      </c>
      <c r="CC20" s="590" t="s">
        <v>17</v>
      </c>
      <c r="CD20" s="599" t="s">
        <v>89</v>
      </c>
      <c r="CE20" s="52">
        <v>0</v>
      </c>
      <c r="CF20" s="144">
        <v>0</v>
      </c>
      <c r="CG20" s="144">
        <v>0</v>
      </c>
      <c r="CH20" s="144"/>
      <c r="CI20" s="52">
        <v>0</v>
      </c>
      <c r="CJ20" s="144">
        <v>0</v>
      </c>
      <c r="CK20" s="144">
        <v>0</v>
      </c>
      <c r="CL20" s="144">
        <v>0</v>
      </c>
      <c r="CM20" s="52">
        <v>0</v>
      </c>
      <c r="CN20" s="144">
        <v>0</v>
      </c>
      <c r="CO20" s="17">
        <f t="shared" si="10"/>
        <v>0</v>
      </c>
      <c r="CP20" s="139">
        <f t="shared" si="11"/>
        <v>0</v>
      </c>
      <c r="CQ20" s="139">
        <f t="shared" si="12"/>
        <v>0</v>
      </c>
      <c r="CR20" s="139">
        <f t="shared" si="40"/>
        <v>0</v>
      </c>
      <c r="CS20" s="590" t="s">
        <v>17</v>
      </c>
      <c r="CT20" s="599" t="s">
        <v>89</v>
      </c>
      <c r="CU20" s="144">
        <v>0</v>
      </c>
      <c r="CV20" s="144">
        <v>0</v>
      </c>
      <c r="CW20" s="144">
        <v>0</v>
      </c>
      <c r="CX20" s="144"/>
      <c r="CY20" s="144">
        <v>0</v>
      </c>
      <c r="CZ20" s="144">
        <v>0</v>
      </c>
      <c r="DA20" s="144">
        <v>0</v>
      </c>
      <c r="DB20" s="144">
        <v>0</v>
      </c>
      <c r="DC20" s="144">
        <v>0</v>
      </c>
      <c r="DD20" s="144">
        <v>0</v>
      </c>
      <c r="DE20" s="139">
        <f t="shared" si="13"/>
        <v>0</v>
      </c>
      <c r="DF20" s="139">
        <f t="shared" si="14"/>
        <v>0</v>
      </c>
      <c r="DG20" s="139">
        <f t="shared" si="15"/>
        <v>0</v>
      </c>
      <c r="DH20" s="139">
        <f t="shared" si="41"/>
        <v>0</v>
      </c>
      <c r="DI20" s="590" t="s">
        <v>17</v>
      </c>
      <c r="DJ20" s="599" t="s">
        <v>89</v>
      </c>
      <c r="DK20" s="144">
        <v>0</v>
      </c>
      <c r="DL20" s="144">
        <v>0</v>
      </c>
      <c r="DM20" s="144">
        <v>0</v>
      </c>
      <c r="DN20" s="144"/>
      <c r="DO20" s="144">
        <v>0</v>
      </c>
      <c r="DP20" s="144">
        <v>0</v>
      </c>
      <c r="DQ20" s="144">
        <v>0</v>
      </c>
      <c r="DR20" s="144">
        <v>0</v>
      </c>
      <c r="DS20" s="144">
        <v>0</v>
      </c>
      <c r="DT20" s="144">
        <v>0</v>
      </c>
      <c r="DU20" s="139">
        <f t="shared" si="16"/>
        <v>0</v>
      </c>
      <c r="DV20" s="139">
        <f t="shared" si="17"/>
        <v>0</v>
      </c>
      <c r="DW20" s="139">
        <f t="shared" si="18"/>
        <v>0</v>
      </c>
      <c r="DX20" s="139">
        <f t="shared" si="42"/>
        <v>0</v>
      </c>
      <c r="DY20" s="590" t="s">
        <v>17</v>
      </c>
      <c r="DZ20" s="599" t="s">
        <v>89</v>
      </c>
      <c r="EA20" s="96">
        <f t="shared" si="43"/>
        <v>0</v>
      </c>
      <c r="EB20" s="96">
        <f t="shared" si="19"/>
        <v>0</v>
      </c>
      <c r="EC20" s="96">
        <f t="shared" si="20"/>
        <v>0</v>
      </c>
      <c r="ED20" s="96">
        <f t="shared" si="21"/>
        <v>0</v>
      </c>
      <c r="EE20" s="96">
        <f t="shared" si="22"/>
        <v>0</v>
      </c>
      <c r="EF20" s="96">
        <f t="shared" si="23"/>
        <v>0</v>
      </c>
      <c r="EG20" s="96">
        <f t="shared" si="24"/>
        <v>0</v>
      </c>
      <c r="EH20" s="96">
        <f t="shared" si="25"/>
        <v>0</v>
      </c>
      <c r="EI20" s="96">
        <f t="shared" si="26"/>
        <v>0</v>
      </c>
      <c r="EJ20" s="96">
        <f t="shared" si="27"/>
        <v>0</v>
      </c>
      <c r="EK20" s="96">
        <f t="shared" si="28"/>
        <v>0</v>
      </c>
      <c r="EL20" s="96">
        <f t="shared" si="29"/>
        <v>0</v>
      </c>
      <c r="EM20" s="96">
        <f t="shared" si="30"/>
        <v>0</v>
      </c>
      <c r="EN20" s="96">
        <f t="shared" si="31"/>
        <v>0</v>
      </c>
      <c r="EO20" s="50"/>
      <c r="EP20" s="50"/>
    </row>
    <row r="21" spans="1:146" ht="15" customHeight="1" x14ac:dyDescent="0.25">
      <c r="A21" s="590" t="s">
        <v>18</v>
      </c>
      <c r="B21" s="728" t="s">
        <v>90</v>
      </c>
      <c r="C21" s="370">
        <v>0</v>
      </c>
      <c r="D21" s="144">
        <v>0</v>
      </c>
      <c r="E21" s="370">
        <v>0</v>
      </c>
      <c r="F21" s="370">
        <v>0</v>
      </c>
      <c r="G21" s="370">
        <v>0</v>
      </c>
      <c r="H21" s="370">
        <v>0</v>
      </c>
      <c r="I21" s="370">
        <v>0</v>
      </c>
      <c r="J21" s="370">
        <v>0</v>
      </c>
      <c r="K21" s="370">
        <v>0</v>
      </c>
      <c r="L21" s="370">
        <v>0</v>
      </c>
      <c r="M21" s="168">
        <f t="shared" si="32"/>
        <v>0</v>
      </c>
      <c r="N21" s="168">
        <f t="shared" si="46"/>
        <v>0</v>
      </c>
      <c r="O21" s="168">
        <f t="shared" si="47"/>
        <v>0</v>
      </c>
      <c r="P21" s="168">
        <f t="shared" si="1"/>
        <v>0</v>
      </c>
      <c r="Q21" s="590" t="s">
        <v>18</v>
      </c>
      <c r="R21" s="728" t="s">
        <v>90</v>
      </c>
      <c r="S21" s="52">
        <v>0</v>
      </c>
      <c r="T21" s="144">
        <v>0</v>
      </c>
      <c r="U21" s="144">
        <v>0</v>
      </c>
      <c r="V21" s="52">
        <v>0</v>
      </c>
      <c r="W21" s="370">
        <v>0</v>
      </c>
      <c r="X21" s="144">
        <v>0</v>
      </c>
      <c r="Y21" s="144">
        <v>0</v>
      </c>
      <c r="Z21" s="144">
        <v>0</v>
      </c>
      <c r="AA21" s="52">
        <v>0</v>
      </c>
      <c r="AB21" s="144">
        <v>0</v>
      </c>
      <c r="AC21" s="17">
        <f t="shared" si="33"/>
        <v>0</v>
      </c>
      <c r="AD21" s="139">
        <f t="shared" si="34"/>
        <v>0</v>
      </c>
      <c r="AE21" s="139">
        <f t="shared" si="35"/>
        <v>0</v>
      </c>
      <c r="AF21" s="139">
        <f t="shared" si="36"/>
        <v>0</v>
      </c>
      <c r="AG21" s="590" t="s">
        <v>18</v>
      </c>
      <c r="AH21" s="599" t="s">
        <v>90</v>
      </c>
      <c r="AI21" s="52">
        <v>0</v>
      </c>
      <c r="AJ21" s="144">
        <v>0</v>
      </c>
      <c r="AK21" s="144">
        <v>0</v>
      </c>
      <c r="AL21" s="144"/>
      <c r="AM21" s="52">
        <v>0</v>
      </c>
      <c r="AN21" s="144">
        <v>0</v>
      </c>
      <c r="AO21" s="144">
        <v>0</v>
      </c>
      <c r="AP21" s="144">
        <v>0</v>
      </c>
      <c r="AQ21" s="52">
        <v>0</v>
      </c>
      <c r="AR21" s="144">
        <v>0</v>
      </c>
      <c r="AS21" s="17">
        <f t="shared" si="2"/>
        <v>0</v>
      </c>
      <c r="AT21" s="139">
        <f t="shared" si="3"/>
        <v>0</v>
      </c>
      <c r="AU21" s="139">
        <f t="shared" si="4"/>
        <v>0</v>
      </c>
      <c r="AV21" s="139">
        <f t="shared" si="37"/>
        <v>0</v>
      </c>
      <c r="AW21" s="590" t="s">
        <v>18</v>
      </c>
      <c r="AX21" s="599" t="s">
        <v>90</v>
      </c>
      <c r="AY21" s="52">
        <v>0</v>
      </c>
      <c r="AZ21" s="144">
        <v>0</v>
      </c>
      <c r="BA21" s="144">
        <v>0</v>
      </c>
      <c r="BB21" s="144"/>
      <c r="BC21" s="52">
        <v>0</v>
      </c>
      <c r="BD21" s="144">
        <v>0</v>
      </c>
      <c r="BE21" s="144">
        <v>0</v>
      </c>
      <c r="BF21" s="144">
        <v>0</v>
      </c>
      <c r="BG21" s="52">
        <v>0</v>
      </c>
      <c r="BH21" s="144">
        <v>0</v>
      </c>
      <c r="BI21" s="17">
        <f t="shared" si="5"/>
        <v>0</v>
      </c>
      <c r="BJ21" s="139">
        <f t="shared" si="6"/>
        <v>0</v>
      </c>
      <c r="BK21" s="139">
        <f t="shared" si="7"/>
        <v>0</v>
      </c>
      <c r="BL21" s="139">
        <f t="shared" si="38"/>
        <v>0</v>
      </c>
      <c r="BM21" s="590" t="s">
        <v>18</v>
      </c>
      <c r="BN21" s="599" t="s">
        <v>90</v>
      </c>
      <c r="BO21" s="52">
        <v>0</v>
      </c>
      <c r="BP21" s="144">
        <v>0</v>
      </c>
      <c r="BQ21" s="144">
        <v>0</v>
      </c>
      <c r="BR21" s="144"/>
      <c r="BS21" s="52">
        <v>0</v>
      </c>
      <c r="BT21" s="144">
        <v>0</v>
      </c>
      <c r="BU21" s="144">
        <v>0</v>
      </c>
      <c r="BV21" s="144">
        <v>0</v>
      </c>
      <c r="BW21" s="52">
        <v>0</v>
      </c>
      <c r="BX21" s="144">
        <v>0</v>
      </c>
      <c r="BY21" s="17">
        <f t="shared" si="8"/>
        <v>0</v>
      </c>
      <c r="BZ21" s="139">
        <f t="shared" si="9"/>
        <v>0</v>
      </c>
      <c r="CA21" s="139">
        <f t="shared" si="48"/>
        <v>0</v>
      </c>
      <c r="CB21" s="139">
        <f t="shared" si="39"/>
        <v>0</v>
      </c>
      <c r="CC21" s="590" t="s">
        <v>18</v>
      </c>
      <c r="CD21" s="599" t="s">
        <v>90</v>
      </c>
      <c r="CE21" s="52">
        <v>0</v>
      </c>
      <c r="CF21" s="144">
        <v>0</v>
      </c>
      <c r="CG21" s="144">
        <v>0</v>
      </c>
      <c r="CH21" s="144"/>
      <c r="CI21" s="52">
        <v>0</v>
      </c>
      <c r="CJ21" s="144">
        <v>0</v>
      </c>
      <c r="CK21" s="144">
        <v>0</v>
      </c>
      <c r="CL21" s="144">
        <v>0</v>
      </c>
      <c r="CM21" s="52">
        <v>0</v>
      </c>
      <c r="CN21" s="144">
        <v>0</v>
      </c>
      <c r="CO21" s="17">
        <f t="shared" si="10"/>
        <v>0</v>
      </c>
      <c r="CP21" s="139">
        <f t="shared" si="11"/>
        <v>0</v>
      </c>
      <c r="CQ21" s="139">
        <f t="shared" si="12"/>
        <v>0</v>
      </c>
      <c r="CR21" s="139">
        <f t="shared" si="40"/>
        <v>0</v>
      </c>
      <c r="CS21" s="590" t="s">
        <v>18</v>
      </c>
      <c r="CT21" s="599" t="s">
        <v>90</v>
      </c>
      <c r="CU21" s="144">
        <v>0</v>
      </c>
      <c r="CV21" s="144">
        <v>0</v>
      </c>
      <c r="CW21" s="144">
        <v>0</v>
      </c>
      <c r="CX21" s="144"/>
      <c r="CY21" s="144">
        <v>0</v>
      </c>
      <c r="CZ21" s="144">
        <v>0</v>
      </c>
      <c r="DA21" s="144">
        <v>0</v>
      </c>
      <c r="DB21" s="144">
        <v>0</v>
      </c>
      <c r="DC21" s="144">
        <v>0</v>
      </c>
      <c r="DD21" s="144">
        <v>0</v>
      </c>
      <c r="DE21" s="139">
        <f t="shared" si="13"/>
        <v>0</v>
      </c>
      <c r="DF21" s="139">
        <f t="shared" si="14"/>
        <v>0</v>
      </c>
      <c r="DG21" s="139">
        <f t="shared" si="15"/>
        <v>0</v>
      </c>
      <c r="DH21" s="139">
        <f t="shared" si="41"/>
        <v>0</v>
      </c>
      <c r="DI21" s="590" t="s">
        <v>18</v>
      </c>
      <c r="DJ21" s="599" t="s">
        <v>90</v>
      </c>
      <c r="DK21" s="144">
        <v>0</v>
      </c>
      <c r="DL21" s="144">
        <v>0</v>
      </c>
      <c r="DM21" s="144">
        <v>0</v>
      </c>
      <c r="DN21" s="144"/>
      <c r="DO21" s="144">
        <v>0</v>
      </c>
      <c r="DP21" s="144">
        <v>0</v>
      </c>
      <c r="DQ21" s="144">
        <v>0</v>
      </c>
      <c r="DR21" s="144">
        <v>0</v>
      </c>
      <c r="DS21" s="144">
        <v>0</v>
      </c>
      <c r="DT21" s="144">
        <v>0</v>
      </c>
      <c r="DU21" s="139">
        <f t="shared" si="16"/>
        <v>0</v>
      </c>
      <c r="DV21" s="139">
        <f t="shared" si="17"/>
        <v>0</v>
      </c>
      <c r="DW21" s="139">
        <f t="shared" si="18"/>
        <v>0</v>
      </c>
      <c r="DX21" s="139">
        <f t="shared" si="42"/>
        <v>0</v>
      </c>
      <c r="DY21" s="590" t="s">
        <v>18</v>
      </c>
      <c r="DZ21" s="599" t="s">
        <v>90</v>
      </c>
      <c r="EA21" s="96">
        <f t="shared" si="43"/>
        <v>0</v>
      </c>
      <c r="EB21" s="96">
        <f t="shared" si="19"/>
        <v>0</v>
      </c>
      <c r="EC21" s="96">
        <f t="shared" si="20"/>
        <v>0</v>
      </c>
      <c r="ED21" s="96">
        <f t="shared" si="21"/>
        <v>0</v>
      </c>
      <c r="EE21" s="96">
        <f t="shared" si="22"/>
        <v>0</v>
      </c>
      <c r="EF21" s="96">
        <f t="shared" si="23"/>
        <v>0</v>
      </c>
      <c r="EG21" s="96">
        <f t="shared" si="24"/>
        <v>0</v>
      </c>
      <c r="EH21" s="96">
        <f t="shared" si="25"/>
        <v>0</v>
      </c>
      <c r="EI21" s="96">
        <f t="shared" si="26"/>
        <v>0</v>
      </c>
      <c r="EJ21" s="96">
        <f t="shared" si="27"/>
        <v>0</v>
      </c>
      <c r="EK21" s="96">
        <f t="shared" si="28"/>
        <v>0</v>
      </c>
      <c r="EL21" s="96">
        <f t="shared" si="29"/>
        <v>0</v>
      </c>
      <c r="EM21" s="96">
        <f t="shared" si="30"/>
        <v>0</v>
      </c>
      <c r="EN21" s="96">
        <f t="shared" si="31"/>
        <v>0</v>
      </c>
      <c r="EO21" s="50"/>
      <c r="EP21" s="50"/>
    </row>
    <row r="22" spans="1:146" ht="15" customHeight="1" x14ac:dyDescent="0.25">
      <c r="A22" s="590" t="s">
        <v>19</v>
      </c>
      <c r="B22" s="728" t="s">
        <v>91</v>
      </c>
      <c r="C22" s="370">
        <v>0</v>
      </c>
      <c r="D22" s="144">
        <v>0</v>
      </c>
      <c r="E22" s="370">
        <v>0</v>
      </c>
      <c r="F22" s="370">
        <v>0</v>
      </c>
      <c r="G22" s="370">
        <v>0</v>
      </c>
      <c r="H22" s="370">
        <v>0</v>
      </c>
      <c r="I22" s="370">
        <v>0</v>
      </c>
      <c r="J22" s="370">
        <v>0</v>
      </c>
      <c r="K22" s="370">
        <v>0</v>
      </c>
      <c r="L22" s="370">
        <v>0</v>
      </c>
      <c r="M22" s="168">
        <f t="shared" si="32"/>
        <v>0</v>
      </c>
      <c r="N22" s="168">
        <f t="shared" si="46"/>
        <v>0</v>
      </c>
      <c r="O22" s="168">
        <f t="shared" si="47"/>
        <v>0</v>
      </c>
      <c r="P22" s="168">
        <f t="shared" si="1"/>
        <v>0</v>
      </c>
      <c r="Q22" s="590" t="s">
        <v>19</v>
      </c>
      <c r="R22" s="728" t="s">
        <v>91</v>
      </c>
      <c r="S22" s="52">
        <v>0</v>
      </c>
      <c r="T22" s="144">
        <v>0</v>
      </c>
      <c r="U22" s="144">
        <v>0</v>
      </c>
      <c r="V22" s="52">
        <v>0</v>
      </c>
      <c r="W22" s="370">
        <v>0</v>
      </c>
      <c r="X22" s="144">
        <v>0</v>
      </c>
      <c r="Y22" s="144">
        <v>0</v>
      </c>
      <c r="Z22" s="144">
        <v>0</v>
      </c>
      <c r="AA22" s="52">
        <v>0</v>
      </c>
      <c r="AB22" s="144">
        <v>0</v>
      </c>
      <c r="AC22" s="17">
        <f t="shared" si="33"/>
        <v>0</v>
      </c>
      <c r="AD22" s="139">
        <f t="shared" si="34"/>
        <v>0</v>
      </c>
      <c r="AE22" s="139">
        <f t="shared" si="35"/>
        <v>0</v>
      </c>
      <c r="AF22" s="139">
        <f t="shared" si="36"/>
        <v>0</v>
      </c>
      <c r="AG22" s="590" t="s">
        <v>19</v>
      </c>
      <c r="AH22" s="599" t="s">
        <v>91</v>
      </c>
      <c r="AI22" s="52">
        <v>0</v>
      </c>
      <c r="AJ22" s="144">
        <v>0</v>
      </c>
      <c r="AK22" s="144">
        <v>0</v>
      </c>
      <c r="AL22" s="144"/>
      <c r="AM22" s="52">
        <v>0</v>
      </c>
      <c r="AN22" s="144">
        <v>0</v>
      </c>
      <c r="AO22" s="144">
        <v>0</v>
      </c>
      <c r="AP22" s="144">
        <v>0</v>
      </c>
      <c r="AQ22" s="52">
        <v>0</v>
      </c>
      <c r="AR22" s="144">
        <v>0</v>
      </c>
      <c r="AS22" s="17">
        <f t="shared" si="2"/>
        <v>0</v>
      </c>
      <c r="AT22" s="139">
        <f t="shared" si="3"/>
        <v>0</v>
      </c>
      <c r="AU22" s="139">
        <f t="shared" si="4"/>
        <v>0</v>
      </c>
      <c r="AV22" s="139">
        <f t="shared" si="37"/>
        <v>0</v>
      </c>
      <c r="AW22" s="590" t="s">
        <v>19</v>
      </c>
      <c r="AX22" s="599" t="s">
        <v>91</v>
      </c>
      <c r="AY22" s="52">
        <v>0</v>
      </c>
      <c r="AZ22" s="144">
        <v>0</v>
      </c>
      <c r="BA22" s="144">
        <v>0</v>
      </c>
      <c r="BB22" s="144"/>
      <c r="BC22" s="52">
        <v>0</v>
      </c>
      <c r="BD22" s="144">
        <v>0</v>
      </c>
      <c r="BE22" s="144">
        <v>0</v>
      </c>
      <c r="BF22" s="144">
        <v>0</v>
      </c>
      <c r="BG22" s="52">
        <v>0</v>
      </c>
      <c r="BH22" s="144">
        <v>0</v>
      </c>
      <c r="BI22" s="17">
        <f t="shared" si="5"/>
        <v>0</v>
      </c>
      <c r="BJ22" s="139">
        <f t="shared" si="6"/>
        <v>0</v>
      </c>
      <c r="BK22" s="139">
        <f t="shared" si="7"/>
        <v>0</v>
      </c>
      <c r="BL22" s="139">
        <f t="shared" si="38"/>
        <v>0</v>
      </c>
      <c r="BM22" s="590" t="s">
        <v>19</v>
      </c>
      <c r="BN22" s="599" t="s">
        <v>91</v>
      </c>
      <c r="BO22" s="52">
        <v>0</v>
      </c>
      <c r="BP22" s="144">
        <v>0</v>
      </c>
      <c r="BQ22" s="144">
        <v>0</v>
      </c>
      <c r="BR22" s="144"/>
      <c r="BS22" s="52">
        <v>0</v>
      </c>
      <c r="BT22" s="144">
        <v>0</v>
      </c>
      <c r="BU22" s="144">
        <v>0</v>
      </c>
      <c r="BV22" s="144">
        <v>0</v>
      </c>
      <c r="BW22" s="52">
        <v>0</v>
      </c>
      <c r="BX22" s="144">
        <v>0</v>
      </c>
      <c r="BY22" s="17">
        <f t="shared" si="8"/>
        <v>0</v>
      </c>
      <c r="BZ22" s="139">
        <f t="shared" si="9"/>
        <v>0</v>
      </c>
      <c r="CA22" s="139">
        <f t="shared" si="48"/>
        <v>0</v>
      </c>
      <c r="CB22" s="139">
        <f t="shared" si="39"/>
        <v>0</v>
      </c>
      <c r="CC22" s="590" t="s">
        <v>19</v>
      </c>
      <c r="CD22" s="599" t="s">
        <v>91</v>
      </c>
      <c r="CE22" s="52">
        <v>0</v>
      </c>
      <c r="CF22" s="144">
        <v>0</v>
      </c>
      <c r="CG22" s="144">
        <v>0</v>
      </c>
      <c r="CH22" s="144"/>
      <c r="CI22" s="52">
        <v>0</v>
      </c>
      <c r="CJ22" s="144">
        <v>0</v>
      </c>
      <c r="CK22" s="144">
        <v>0</v>
      </c>
      <c r="CL22" s="144">
        <v>0</v>
      </c>
      <c r="CM22" s="52">
        <v>0</v>
      </c>
      <c r="CN22" s="144">
        <v>0</v>
      </c>
      <c r="CO22" s="17">
        <f t="shared" si="10"/>
        <v>0</v>
      </c>
      <c r="CP22" s="139">
        <f t="shared" si="11"/>
        <v>0</v>
      </c>
      <c r="CQ22" s="139">
        <f t="shared" si="12"/>
        <v>0</v>
      </c>
      <c r="CR22" s="139">
        <f t="shared" si="40"/>
        <v>0</v>
      </c>
      <c r="CS22" s="590" t="s">
        <v>19</v>
      </c>
      <c r="CT22" s="599" t="s">
        <v>91</v>
      </c>
      <c r="CU22" s="144">
        <v>0</v>
      </c>
      <c r="CV22" s="144">
        <v>0</v>
      </c>
      <c r="CW22" s="144">
        <v>0</v>
      </c>
      <c r="CX22" s="144"/>
      <c r="CY22" s="144">
        <v>0</v>
      </c>
      <c r="CZ22" s="144">
        <v>0</v>
      </c>
      <c r="DA22" s="144">
        <v>0</v>
      </c>
      <c r="DB22" s="144">
        <v>0</v>
      </c>
      <c r="DC22" s="144">
        <v>0</v>
      </c>
      <c r="DD22" s="144">
        <v>0</v>
      </c>
      <c r="DE22" s="139">
        <f t="shared" si="13"/>
        <v>0</v>
      </c>
      <c r="DF22" s="139">
        <f t="shared" si="14"/>
        <v>0</v>
      </c>
      <c r="DG22" s="139">
        <f t="shared" si="15"/>
        <v>0</v>
      </c>
      <c r="DH22" s="139">
        <f t="shared" si="41"/>
        <v>0</v>
      </c>
      <c r="DI22" s="590" t="s">
        <v>19</v>
      </c>
      <c r="DJ22" s="599" t="s">
        <v>91</v>
      </c>
      <c r="DK22" s="370">
        <v>0</v>
      </c>
      <c r="DL22" s="144">
        <v>0</v>
      </c>
      <c r="DM22" s="370">
        <v>0</v>
      </c>
      <c r="DN22" s="370"/>
      <c r="DO22" s="370">
        <v>0</v>
      </c>
      <c r="DP22" s="370">
        <v>0</v>
      </c>
      <c r="DQ22" s="370">
        <v>0</v>
      </c>
      <c r="DR22" s="370">
        <v>0</v>
      </c>
      <c r="DS22" s="370">
        <v>0</v>
      </c>
      <c r="DT22" s="370">
        <v>0</v>
      </c>
      <c r="DU22" s="168">
        <f t="shared" si="16"/>
        <v>0</v>
      </c>
      <c r="DV22" s="139">
        <f t="shared" si="17"/>
        <v>0</v>
      </c>
      <c r="DW22" s="139">
        <f t="shared" si="18"/>
        <v>0</v>
      </c>
      <c r="DX22" s="139">
        <f t="shared" si="42"/>
        <v>0</v>
      </c>
      <c r="DY22" s="590" t="s">
        <v>19</v>
      </c>
      <c r="DZ22" s="599" t="s">
        <v>91</v>
      </c>
      <c r="EA22" s="96">
        <f t="shared" si="43"/>
        <v>0</v>
      </c>
      <c r="EB22" s="96">
        <f t="shared" si="19"/>
        <v>0</v>
      </c>
      <c r="EC22" s="96">
        <f t="shared" si="20"/>
        <v>0</v>
      </c>
      <c r="ED22" s="96">
        <f t="shared" si="21"/>
        <v>0</v>
      </c>
      <c r="EE22" s="96">
        <f t="shared" si="22"/>
        <v>0</v>
      </c>
      <c r="EF22" s="96">
        <f t="shared" si="23"/>
        <v>0</v>
      </c>
      <c r="EG22" s="96">
        <f t="shared" si="24"/>
        <v>0</v>
      </c>
      <c r="EH22" s="96">
        <f t="shared" si="25"/>
        <v>0</v>
      </c>
      <c r="EI22" s="96">
        <f t="shared" si="26"/>
        <v>0</v>
      </c>
      <c r="EJ22" s="96">
        <f t="shared" si="27"/>
        <v>0</v>
      </c>
      <c r="EK22" s="96">
        <f t="shared" si="28"/>
        <v>0</v>
      </c>
      <c r="EL22" s="96">
        <f t="shared" si="29"/>
        <v>0</v>
      </c>
      <c r="EM22" s="96">
        <f t="shared" si="30"/>
        <v>0</v>
      </c>
      <c r="EN22" s="96">
        <f t="shared" si="31"/>
        <v>0</v>
      </c>
      <c r="EO22" s="50"/>
      <c r="EP22" s="50"/>
    </row>
    <row r="23" spans="1:146" s="180" customFormat="1" ht="15" customHeight="1" x14ac:dyDescent="0.25">
      <c r="A23" s="601" t="s">
        <v>20</v>
      </c>
      <c r="B23" s="729" t="s">
        <v>92</v>
      </c>
      <c r="C23" s="168">
        <f>C5+C6+C11+C12+C19+C20+C21+C22</f>
        <v>8334000</v>
      </c>
      <c r="D23" s="139">
        <f>D5+D6+D11+D12+D19+D20+D21+D22</f>
        <v>8334000</v>
      </c>
      <c r="E23" s="168">
        <f>E5+E6+E11+E12+E19+E20+E21+E22</f>
        <v>6000000</v>
      </c>
      <c r="F23" s="168">
        <f>F5+F6+F11+F12+F19+F20+F21+F22</f>
        <v>7649019</v>
      </c>
      <c r="G23" s="168">
        <v>0</v>
      </c>
      <c r="H23" s="168">
        <v>0</v>
      </c>
      <c r="I23" s="168">
        <v>0</v>
      </c>
      <c r="J23" s="168">
        <f>J5+J6+J11+J12+J19+J20+J21+J22</f>
        <v>0</v>
      </c>
      <c r="K23" s="168">
        <v>0</v>
      </c>
      <c r="L23" s="168">
        <f>L5+L6+L11+L12+L19+L20+L21+L22</f>
        <v>0</v>
      </c>
      <c r="M23" s="168">
        <f t="shared" si="32"/>
        <v>8334000</v>
      </c>
      <c r="N23" s="168">
        <f t="shared" si="46"/>
        <v>8334000</v>
      </c>
      <c r="O23" s="168">
        <f t="shared" si="47"/>
        <v>14334000</v>
      </c>
      <c r="P23" s="168">
        <f t="shared" si="1"/>
        <v>7649019</v>
      </c>
      <c r="Q23" s="601" t="s">
        <v>20</v>
      </c>
      <c r="R23" s="729" t="s">
        <v>92</v>
      </c>
      <c r="S23" s="139">
        <f t="shared" ref="S23:AB23" si="49">S5+S6+S11+S12+S19+S20+S21+S22</f>
        <v>4250000</v>
      </c>
      <c r="T23" s="139">
        <f t="shared" si="49"/>
        <v>4250000</v>
      </c>
      <c r="U23" s="139">
        <f t="shared" si="49"/>
        <v>600000</v>
      </c>
      <c r="V23" s="139">
        <f t="shared" si="49"/>
        <v>4250000</v>
      </c>
      <c r="W23" s="168">
        <v>0</v>
      </c>
      <c r="X23" s="139">
        <f t="shared" ref="X23:Y23" si="50">X5+X6+X11+X12+X19+X20+X21+X22</f>
        <v>0</v>
      </c>
      <c r="Y23" s="139">
        <f t="shared" si="50"/>
        <v>0</v>
      </c>
      <c r="Z23" s="139">
        <f t="shared" si="49"/>
        <v>0</v>
      </c>
      <c r="AA23" s="139">
        <f t="shared" si="49"/>
        <v>0</v>
      </c>
      <c r="AB23" s="139">
        <f t="shared" si="49"/>
        <v>0</v>
      </c>
      <c r="AC23" s="139">
        <f t="shared" si="33"/>
        <v>4250000</v>
      </c>
      <c r="AD23" s="139">
        <f t="shared" si="34"/>
        <v>4250000</v>
      </c>
      <c r="AE23" s="139">
        <f t="shared" si="35"/>
        <v>600000</v>
      </c>
      <c r="AF23" s="139">
        <f t="shared" si="36"/>
        <v>4250000</v>
      </c>
      <c r="AG23" s="601" t="s">
        <v>20</v>
      </c>
      <c r="AH23" s="602" t="s">
        <v>92</v>
      </c>
      <c r="AI23" s="139">
        <f t="shared" ref="AI23:AR23" si="51">AI5+AI6+AI11+AI12+AI19+AI20+AI21+AI22</f>
        <v>7926000</v>
      </c>
      <c r="AJ23" s="139">
        <f t="shared" ref="AJ23" si="52">AJ5+AJ6+AJ11+AJ12+AJ19+AJ20+AJ21+AJ22</f>
        <v>7926000</v>
      </c>
      <c r="AK23" s="139">
        <f t="shared" si="51"/>
        <v>2226333</v>
      </c>
      <c r="AL23" s="139">
        <f t="shared" si="51"/>
        <v>2923646</v>
      </c>
      <c r="AM23" s="139">
        <f t="shared" si="51"/>
        <v>0</v>
      </c>
      <c r="AN23" s="139">
        <f t="shared" ref="AN23:AO23" si="53">AN5+AN6+AN11+AN12+AN19+AN20+AN21+AN22</f>
        <v>0</v>
      </c>
      <c r="AO23" s="139">
        <f t="shared" si="53"/>
        <v>0</v>
      </c>
      <c r="AP23" s="139">
        <f t="shared" si="51"/>
        <v>0</v>
      </c>
      <c r="AQ23" s="139">
        <f t="shared" si="51"/>
        <v>0</v>
      </c>
      <c r="AR23" s="139">
        <f t="shared" si="51"/>
        <v>0</v>
      </c>
      <c r="AS23" s="139">
        <f t="shared" si="2"/>
        <v>7926000</v>
      </c>
      <c r="AT23" s="139">
        <f t="shared" si="3"/>
        <v>7926000</v>
      </c>
      <c r="AU23" s="139">
        <f t="shared" si="4"/>
        <v>2226333</v>
      </c>
      <c r="AV23" s="139">
        <f t="shared" si="37"/>
        <v>2923646</v>
      </c>
      <c r="AW23" s="601" t="s">
        <v>20</v>
      </c>
      <c r="AX23" s="602" t="s">
        <v>92</v>
      </c>
      <c r="AY23" s="139">
        <f t="shared" ref="AY23:BH23" si="54">AY5+AY6+AY11+AY12+AY19+AY20+AY21+AY22</f>
        <v>13215000</v>
      </c>
      <c r="AZ23" s="139">
        <f t="shared" si="54"/>
        <v>13215000</v>
      </c>
      <c r="BA23" s="139">
        <f t="shared" ref="BA23:BB23" si="55">BA5+BA6+BA11+BA12+BA19+BA20+BA21+BA22</f>
        <v>10000000</v>
      </c>
      <c r="BB23" s="139">
        <f t="shared" si="55"/>
        <v>13185233</v>
      </c>
      <c r="BC23" s="139">
        <f t="shared" si="54"/>
        <v>0</v>
      </c>
      <c r="BD23" s="139">
        <f t="shared" ref="BD23:BE23" si="56">BD5+BD6+BD11+BD12+BD19+BD20+BD21+BD22</f>
        <v>0</v>
      </c>
      <c r="BE23" s="139">
        <f t="shared" si="56"/>
        <v>0</v>
      </c>
      <c r="BF23" s="139">
        <f t="shared" si="54"/>
        <v>0</v>
      </c>
      <c r="BG23" s="139">
        <f t="shared" si="54"/>
        <v>0</v>
      </c>
      <c r="BH23" s="139">
        <f t="shared" si="54"/>
        <v>0</v>
      </c>
      <c r="BI23" s="139">
        <f t="shared" si="5"/>
        <v>13215000</v>
      </c>
      <c r="BJ23" s="139">
        <f t="shared" si="6"/>
        <v>13215000</v>
      </c>
      <c r="BK23" s="139">
        <f t="shared" si="7"/>
        <v>10000000</v>
      </c>
      <c r="BL23" s="139">
        <f t="shared" si="38"/>
        <v>13185233</v>
      </c>
      <c r="BM23" s="601" t="s">
        <v>20</v>
      </c>
      <c r="BN23" s="602" t="s">
        <v>92</v>
      </c>
      <c r="BO23" s="139">
        <f>SUM(BO5:BO22)</f>
        <v>4889000</v>
      </c>
      <c r="BP23" s="139">
        <f t="shared" ref="BP23:BR23" si="57">SUM(BP5:BP22)</f>
        <v>4889000</v>
      </c>
      <c r="BQ23" s="139">
        <f t="shared" si="57"/>
        <v>3500000</v>
      </c>
      <c r="BR23" s="139">
        <f t="shared" si="57"/>
        <v>4889000</v>
      </c>
      <c r="BS23" s="139">
        <f t="shared" ref="BS23:BX23" si="58">BS5+BS6+BS11+BS12+BS19+BS20+BS21+BS22</f>
        <v>0</v>
      </c>
      <c r="BT23" s="139">
        <f t="shared" si="58"/>
        <v>0</v>
      </c>
      <c r="BU23" s="139">
        <f t="shared" si="58"/>
        <v>0</v>
      </c>
      <c r="BV23" s="139">
        <f t="shared" si="58"/>
        <v>0</v>
      </c>
      <c r="BW23" s="139">
        <f t="shared" si="58"/>
        <v>0</v>
      </c>
      <c r="BX23" s="139">
        <f t="shared" si="58"/>
        <v>0</v>
      </c>
      <c r="BY23" s="139">
        <f t="shared" si="8"/>
        <v>4889000</v>
      </c>
      <c r="BZ23" s="139">
        <f t="shared" si="9"/>
        <v>4889000</v>
      </c>
      <c r="CA23" s="139">
        <f t="shared" si="48"/>
        <v>3500000</v>
      </c>
      <c r="CB23" s="139">
        <f t="shared" si="39"/>
        <v>4889000</v>
      </c>
      <c r="CC23" s="601" t="s">
        <v>20</v>
      </c>
      <c r="CD23" s="602" t="s">
        <v>92</v>
      </c>
      <c r="CE23" s="139">
        <f t="shared" ref="CE23:CN23" si="59">CE5+CE6+CE11+CE12+CE19+CE20+CE21+CE22</f>
        <v>18600000</v>
      </c>
      <c r="CF23" s="139">
        <f t="shared" ref="CF23:CH23" si="60">CF5+CF6+CF11+CF12+CF19+CF20+CF21+CF22</f>
        <v>18600000</v>
      </c>
      <c r="CG23" s="139">
        <f t="shared" si="60"/>
        <v>9151000</v>
      </c>
      <c r="CH23" s="139">
        <f t="shared" si="60"/>
        <v>13600000</v>
      </c>
      <c r="CI23" s="139">
        <f t="shared" si="59"/>
        <v>0</v>
      </c>
      <c r="CJ23" s="139">
        <f t="shared" ref="CJ23:CK23" si="61">CJ5+CJ6+CJ11+CJ12+CJ19+CJ20+CJ21+CJ22</f>
        <v>0</v>
      </c>
      <c r="CK23" s="139">
        <f t="shared" si="61"/>
        <v>0</v>
      </c>
      <c r="CL23" s="139">
        <f t="shared" si="59"/>
        <v>0</v>
      </c>
      <c r="CM23" s="139">
        <f t="shared" si="59"/>
        <v>0</v>
      </c>
      <c r="CN23" s="139">
        <f t="shared" si="59"/>
        <v>0</v>
      </c>
      <c r="CO23" s="139">
        <f t="shared" si="10"/>
        <v>18600000</v>
      </c>
      <c r="CP23" s="139">
        <f t="shared" si="11"/>
        <v>18600000</v>
      </c>
      <c r="CQ23" s="139">
        <f t="shared" si="12"/>
        <v>9151000</v>
      </c>
      <c r="CR23" s="139">
        <f t="shared" si="40"/>
        <v>13600000</v>
      </c>
      <c r="CS23" s="601" t="s">
        <v>20</v>
      </c>
      <c r="CT23" s="602" t="s">
        <v>92</v>
      </c>
      <c r="CU23" s="139">
        <f t="shared" ref="CU23:DD23" si="62">CU5+CU6+CU11+CU12+CU19+CU20+CU21+CU22</f>
        <v>1300000</v>
      </c>
      <c r="CV23" s="139">
        <f t="shared" ref="CV23:CX23" si="63">CV5+CV6+CV11+CV12+CV19+CV20+CV21+CV22</f>
        <v>1300000</v>
      </c>
      <c r="CW23" s="139">
        <f t="shared" si="63"/>
        <v>565000</v>
      </c>
      <c r="CX23" s="139">
        <f t="shared" si="63"/>
        <v>1068233</v>
      </c>
      <c r="CY23" s="139">
        <f t="shared" si="62"/>
        <v>0</v>
      </c>
      <c r="CZ23" s="139">
        <f t="shared" ref="CZ23:DA23" si="64">CZ5+CZ6+CZ11+CZ12+CZ19+CZ20+CZ21+CZ22</f>
        <v>0</v>
      </c>
      <c r="DA23" s="139">
        <f t="shared" si="64"/>
        <v>0</v>
      </c>
      <c r="DB23" s="139">
        <f t="shared" si="62"/>
        <v>0</v>
      </c>
      <c r="DC23" s="139">
        <f t="shared" si="62"/>
        <v>0</v>
      </c>
      <c r="DD23" s="139">
        <f t="shared" si="62"/>
        <v>0</v>
      </c>
      <c r="DE23" s="139">
        <f t="shared" si="13"/>
        <v>1300000</v>
      </c>
      <c r="DF23" s="139">
        <f t="shared" si="14"/>
        <v>1300000</v>
      </c>
      <c r="DG23" s="139">
        <f t="shared" si="15"/>
        <v>565000</v>
      </c>
      <c r="DH23" s="139">
        <f t="shared" si="41"/>
        <v>1068233</v>
      </c>
      <c r="DI23" s="601" t="s">
        <v>20</v>
      </c>
      <c r="DJ23" s="602" t="s">
        <v>92</v>
      </c>
      <c r="DK23" s="168">
        <f t="shared" ref="DK23:DT23" si="65">DK5+DK6+DK11+DK12+DK19+DK20+DK21+DK22</f>
        <v>0</v>
      </c>
      <c r="DL23" s="139">
        <f t="shared" si="65"/>
        <v>0</v>
      </c>
      <c r="DM23" s="168">
        <f t="shared" ref="DM23:DN23" si="66">DM5+DM6+DM11+DM12+DM19+DM20+DM21+DM22</f>
        <v>7884301</v>
      </c>
      <c r="DN23" s="168">
        <f t="shared" si="66"/>
        <v>16000000</v>
      </c>
      <c r="DO23" s="168">
        <f t="shared" si="65"/>
        <v>0</v>
      </c>
      <c r="DP23" s="168">
        <f t="shared" ref="DP23:DQ23" si="67">DP5+DP6+DP11+DP12+DP19+DP20+DP21+DP22</f>
        <v>0</v>
      </c>
      <c r="DQ23" s="168">
        <f t="shared" si="67"/>
        <v>0</v>
      </c>
      <c r="DR23" s="168">
        <f t="shared" si="65"/>
        <v>0</v>
      </c>
      <c r="DS23" s="168">
        <f t="shared" si="65"/>
        <v>0</v>
      </c>
      <c r="DT23" s="168">
        <f t="shared" si="65"/>
        <v>0</v>
      </c>
      <c r="DU23" s="168">
        <f t="shared" si="16"/>
        <v>0</v>
      </c>
      <c r="DV23" s="139">
        <f t="shared" si="17"/>
        <v>0</v>
      </c>
      <c r="DW23" s="139">
        <f t="shared" si="18"/>
        <v>7884301</v>
      </c>
      <c r="DX23" s="139">
        <f t="shared" si="42"/>
        <v>16000000</v>
      </c>
      <c r="DY23" s="601" t="s">
        <v>20</v>
      </c>
      <c r="DZ23" s="602" t="s">
        <v>92</v>
      </c>
      <c r="EA23" s="320">
        <f t="shared" si="43"/>
        <v>58514000</v>
      </c>
      <c r="EB23" s="320">
        <f t="shared" si="19"/>
        <v>58514000</v>
      </c>
      <c r="EC23" s="320">
        <f t="shared" si="20"/>
        <v>39926634</v>
      </c>
      <c r="ED23" s="320">
        <f t="shared" si="21"/>
        <v>63565131</v>
      </c>
      <c r="EE23" s="320">
        <f t="shared" si="22"/>
        <v>0</v>
      </c>
      <c r="EF23" s="320">
        <f t="shared" si="23"/>
        <v>0</v>
      </c>
      <c r="EG23" s="320">
        <f t="shared" si="24"/>
        <v>0</v>
      </c>
      <c r="EH23" s="320">
        <f t="shared" si="25"/>
        <v>0</v>
      </c>
      <c r="EI23" s="320">
        <f t="shared" si="26"/>
        <v>0</v>
      </c>
      <c r="EJ23" s="320">
        <f t="shared" si="27"/>
        <v>0</v>
      </c>
      <c r="EK23" s="320">
        <f t="shared" si="28"/>
        <v>58514000</v>
      </c>
      <c r="EL23" s="320">
        <f t="shared" si="29"/>
        <v>58514000</v>
      </c>
      <c r="EM23" s="320">
        <f t="shared" si="30"/>
        <v>48260634</v>
      </c>
      <c r="EN23" s="320">
        <f t="shared" si="31"/>
        <v>63565131</v>
      </c>
      <c r="EO23" s="44"/>
      <c r="EP23" s="44"/>
    </row>
    <row r="24" spans="1:146" ht="15" customHeight="1" x14ac:dyDescent="0.25">
      <c r="A24" s="597" t="s">
        <v>21</v>
      </c>
      <c r="B24" s="727" t="s">
        <v>426</v>
      </c>
      <c r="C24" s="370">
        <v>0</v>
      </c>
      <c r="D24" s="144">
        <v>0</v>
      </c>
      <c r="E24" s="370">
        <v>0</v>
      </c>
      <c r="F24" s="370"/>
      <c r="G24" s="370">
        <v>0</v>
      </c>
      <c r="H24" s="370">
        <v>0</v>
      </c>
      <c r="I24" s="370">
        <v>0</v>
      </c>
      <c r="J24" s="370">
        <v>0</v>
      </c>
      <c r="K24" s="370">
        <v>0</v>
      </c>
      <c r="L24" s="370">
        <v>0</v>
      </c>
      <c r="M24" s="168">
        <f t="shared" si="32"/>
        <v>0</v>
      </c>
      <c r="N24" s="168">
        <f t="shared" si="46"/>
        <v>0</v>
      </c>
      <c r="O24" s="168">
        <f t="shared" si="47"/>
        <v>0</v>
      </c>
      <c r="P24" s="168">
        <f t="shared" si="1"/>
        <v>0</v>
      </c>
      <c r="Q24" s="597" t="s">
        <v>21</v>
      </c>
      <c r="R24" s="727" t="s">
        <v>426</v>
      </c>
      <c r="S24" s="52">
        <v>0</v>
      </c>
      <c r="T24" s="144">
        <v>0</v>
      </c>
      <c r="U24" s="144">
        <v>0</v>
      </c>
      <c r="V24" s="52">
        <v>0</v>
      </c>
      <c r="W24" s="370">
        <v>0</v>
      </c>
      <c r="X24" s="144">
        <v>0</v>
      </c>
      <c r="Y24" s="144">
        <v>0</v>
      </c>
      <c r="Z24" s="144">
        <v>0</v>
      </c>
      <c r="AA24" s="52">
        <v>0</v>
      </c>
      <c r="AB24" s="144">
        <v>0</v>
      </c>
      <c r="AC24" s="17">
        <f t="shared" si="33"/>
        <v>0</v>
      </c>
      <c r="AD24" s="139">
        <f t="shared" si="34"/>
        <v>0</v>
      </c>
      <c r="AE24" s="139">
        <f t="shared" si="35"/>
        <v>0</v>
      </c>
      <c r="AF24" s="139">
        <f t="shared" si="36"/>
        <v>0</v>
      </c>
      <c r="AG24" s="597" t="s">
        <v>21</v>
      </c>
      <c r="AH24" s="598" t="s">
        <v>426</v>
      </c>
      <c r="AI24" s="52">
        <v>0</v>
      </c>
      <c r="AJ24" s="144">
        <v>0</v>
      </c>
      <c r="AK24" s="144">
        <v>0</v>
      </c>
      <c r="AL24" s="144"/>
      <c r="AM24" s="52">
        <v>0</v>
      </c>
      <c r="AN24" s="144">
        <v>0</v>
      </c>
      <c r="AO24" s="144">
        <v>0</v>
      </c>
      <c r="AP24" s="144">
        <v>0</v>
      </c>
      <c r="AQ24" s="52">
        <v>0</v>
      </c>
      <c r="AR24" s="144">
        <v>0</v>
      </c>
      <c r="AS24" s="17">
        <f t="shared" si="2"/>
        <v>0</v>
      </c>
      <c r="AT24" s="139">
        <f t="shared" si="3"/>
        <v>0</v>
      </c>
      <c r="AU24" s="139">
        <f t="shared" si="4"/>
        <v>0</v>
      </c>
      <c r="AV24" s="139">
        <f t="shared" si="37"/>
        <v>0</v>
      </c>
      <c r="AW24" s="597" t="s">
        <v>21</v>
      </c>
      <c r="AX24" s="598" t="s">
        <v>426</v>
      </c>
      <c r="AY24" s="52">
        <v>0</v>
      </c>
      <c r="AZ24" s="144">
        <v>0</v>
      </c>
      <c r="BA24" s="144">
        <v>0</v>
      </c>
      <c r="BB24" s="144"/>
      <c r="BC24" s="52">
        <v>0</v>
      </c>
      <c r="BD24" s="144">
        <v>0</v>
      </c>
      <c r="BE24" s="144">
        <v>0</v>
      </c>
      <c r="BF24" s="144">
        <v>0</v>
      </c>
      <c r="BG24" s="52">
        <v>0</v>
      </c>
      <c r="BH24" s="144">
        <v>0</v>
      </c>
      <c r="BI24" s="17">
        <f t="shared" si="5"/>
        <v>0</v>
      </c>
      <c r="BJ24" s="139">
        <f t="shared" si="6"/>
        <v>0</v>
      </c>
      <c r="BK24" s="139">
        <f t="shared" si="7"/>
        <v>0</v>
      </c>
      <c r="BL24" s="139">
        <f t="shared" si="38"/>
        <v>0</v>
      </c>
      <c r="BM24" s="597" t="s">
        <v>21</v>
      </c>
      <c r="BN24" s="598" t="s">
        <v>426</v>
      </c>
      <c r="BO24" s="52">
        <v>0</v>
      </c>
      <c r="BP24" s="144">
        <v>0</v>
      </c>
      <c r="BQ24" s="144">
        <v>0</v>
      </c>
      <c r="BR24" s="144"/>
      <c r="BS24" s="52">
        <v>0</v>
      </c>
      <c r="BT24" s="144">
        <v>0</v>
      </c>
      <c r="BU24" s="144">
        <v>0</v>
      </c>
      <c r="BV24" s="144">
        <v>0</v>
      </c>
      <c r="BW24" s="52">
        <v>0</v>
      </c>
      <c r="BX24" s="144">
        <v>0</v>
      </c>
      <c r="BY24" s="17">
        <f t="shared" si="8"/>
        <v>0</v>
      </c>
      <c r="BZ24" s="139">
        <f t="shared" si="9"/>
        <v>0</v>
      </c>
      <c r="CA24" s="139">
        <f t="shared" si="48"/>
        <v>0</v>
      </c>
      <c r="CB24" s="139">
        <f t="shared" si="39"/>
        <v>0</v>
      </c>
      <c r="CC24" s="597" t="s">
        <v>21</v>
      </c>
      <c r="CD24" s="598" t="s">
        <v>426</v>
      </c>
      <c r="CE24" s="52">
        <v>0</v>
      </c>
      <c r="CF24" s="144">
        <v>0</v>
      </c>
      <c r="CG24" s="144">
        <v>0</v>
      </c>
      <c r="CH24" s="144"/>
      <c r="CI24" s="52">
        <v>0</v>
      </c>
      <c r="CJ24" s="144">
        <v>0</v>
      </c>
      <c r="CK24" s="144">
        <v>0</v>
      </c>
      <c r="CL24" s="144">
        <v>0</v>
      </c>
      <c r="CM24" s="52">
        <v>0</v>
      </c>
      <c r="CN24" s="144">
        <v>0</v>
      </c>
      <c r="CO24" s="17">
        <f t="shared" si="10"/>
        <v>0</v>
      </c>
      <c r="CP24" s="139">
        <f t="shared" si="11"/>
        <v>0</v>
      </c>
      <c r="CQ24" s="139">
        <f t="shared" si="12"/>
        <v>0</v>
      </c>
      <c r="CR24" s="139">
        <f t="shared" si="40"/>
        <v>0</v>
      </c>
      <c r="CS24" s="597" t="s">
        <v>21</v>
      </c>
      <c r="CT24" s="598" t="s">
        <v>426</v>
      </c>
      <c r="CU24" s="144">
        <v>0</v>
      </c>
      <c r="CV24" s="144">
        <v>0</v>
      </c>
      <c r="CW24" s="144">
        <v>0</v>
      </c>
      <c r="CX24" s="144"/>
      <c r="CY24" s="144">
        <v>0</v>
      </c>
      <c r="CZ24" s="144">
        <v>0</v>
      </c>
      <c r="DA24" s="144">
        <v>0</v>
      </c>
      <c r="DB24" s="144">
        <v>0</v>
      </c>
      <c r="DC24" s="144">
        <v>0</v>
      </c>
      <c r="DD24" s="144">
        <v>0</v>
      </c>
      <c r="DE24" s="139">
        <f t="shared" si="13"/>
        <v>0</v>
      </c>
      <c r="DF24" s="139">
        <f t="shared" si="14"/>
        <v>0</v>
      </c>
      <c r="DG24" s="139">
        <f t="shared" si="15"/>
        <v>0</v>
      </c>
      <c r="DH24" s="139">
        <f t="shared" si="41"/>
        <v>0</v>
      </c>
      <c r="DI24" s="597" t="s">
        <v>21</v>
      </c>
      <c r="DJ24" s="598" t="s">
        <v>426</v>
      </c>
      <c r="DK24" s="370">
        <v>0</v>
      </c>
      <c r="DL24" s="144">
        <v>0</v>
      </c>
      <c r="DM24" s="370">
        <v>0</v>
      </c>
      <c r="DN24" s="370"/>
      <c r="DO24" s="370">
        <v>0</v>
      </c>
      <c r="DP24" s="370">
        <v>0</v>
      </c>
      <c r="DQ24" s="370">
        <v>0</v>
      </c>
      <c r="DR24" s="370">
        <v>0</v>
      </c>
      <c r="DS24" s="370">
        <v>0</v>
      </c>
      <c r="DT24" s="370">
        <v>0</v>
      </c>
      <c r="DU24" s="168">
        <f t="shared" si="16"/>
        <v>0</v>
      </c>
      <c r="DV24" s="139">
        <f t="shared" si="17"/>
        <v>0</v>
      </c>
      <c r="DW24" s="139">
        <f t="shared" si="18"/>
        <v>0</v>
      </c>
      <c r="DX24" s="139">
        <f t="shared" si="42"/>
        <v>0</v>
      </c>
      <c r="DY24" s="597" t="s">
        <v>21</v>
      </c>
      <c r="DZ24" s="598" t="s">
        <v>426</v>
      </c>
      <c r="EA24" s="96">
        <f t="shared" si="43"/>
        <v>0</v>
      </c>
      <c r="EB24" s="96">
        <f t="shared" si="19"/>
        <v>0</v>
      </c>
      <c r="EC24" s="96">
        <f t="shared" si="20"/>
        <v>0</v>
      </c>
      <c r="ED24" s="96">
        <f t="shared" si="21"/>
        <v>0</v>
      </c>
      <c r="EE24" s="96">
        <f t="shared" si="22"/>
        <v>0</v>
      </c>
      <c r="EF24" s="96">
        <f t="shared" si="23"/>
        <v>0</v>
      </c>
      <c r="EG24" s="96">
        <f t="shared" si="24"/>
        <v>0</v>
      </c>
      <c r="EH24" s="96">
        <f t="shared" si="25"/>
        <v>0</v>
      </c>
      <c r="EI24" s="96">
        <f t="shared" si="26"/>
        <v>0</v>
      </c>
      <c r="EJ24" s="96">
        <f t="shared" si="27"/>
        <v>0</v>
      </c>
      <c r="EK24" s="96">
        <f t="shared" si="28"/>
        <v>0</v>
      </c>
      <c r="EL24" s="96">
        <f t="shared" si="29"/>
        <v>0</v>
      </c>
      <c r="EM24" s="96">
        <f t="shared" si="30"/>
        <v>0</v>
      </c>
      <c r="EN24" s="96">
        <f t="shared" si="31"/>
        <v>0</v>
      </c>
      <c r="EO24" s="50"/>
      <c r="EP24" s="50"/>
    </row>
    <row r="25" spans="1:146" s="181" customFormat="1" ht="15" customHeight="1" x14ac:dyDescent="0.25">
      <c r="A25" s="597" t="s">
        <v>22</v>
      </c>
      <c r="B25" s="727" t="s">
        <v>427</v>
      </c>
      <c r="C25" s="370"/>
      <c r="D25" s="144"/>
      <c r="E25" s="370"/>
      <c r="F25" s="370"/>
      <c r="G25" s="370"/>
      <c r="H25" s="370"/>
      <c r="I25" s="370"/>
      <c r="J25" s="370"/>
      <c r="K25" s="370"/>
      <c r="L25" s="370"/>
      <c r="M25" s="168"/>
      <c r="N25" s="168"/>
      <c r="O25" s="168"/>
      <c r="P25" s="168">
        <f t="shared" si="1"/>
        <v>0</v>
      </c>
      <c r="Q25" s="597" t="s">
        <v>22</v>
      </c>
      <c r="R25" s="727" t="s">
        <v>427</v>
      </c>
      <c r="S25" s="144"/>
      <c r="T25" s="144"/>
      <c r="U25" s="144"/>
      <c r="V25" s="144"/>
      <c r="W25" s="370"/>
      <c r="X25" s="144"/>
      <c r="Y25" s="144"/>
      <c r="Z25" s="144"/>
      <c r="AA25" s="144"/>
      <c r="AB25" s="144"/>
      <c r="AC25" s="139"/>
      <c r="AD25" s="139"/>
      <c r="AE25" s="139"/>
      <c r="AF25" s="139">
        <f t="shared" si="36"/>
        <v>0</v>
      </c>
      <c r="AG25" s="597" t="s">
        <v>22</v>
      </c>
      <c r="AH25" s="598" t="s">
        <v>427</v>
      </c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39"/>
      <c r="AT25" s="139"/>
      <c r="AU25" s="139"/>
      <c r="AV25" s="139">
        <f t="shared" si="37"/>
        <v>0</v>
      </c>
      <c r="AW25" s="597" t="s">
        <v>22</v>
      </c>
      <c r="AX25" s="598" t="s">
        <v>427</v>
      </c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39"/>
      <c r="BJ25" s="139"/>
      <c r="BK25" s="139"/>
      <c r="BL25" s="139">
        <f t="shared" si="38"/>
        <v>0</v>
      </c>
      <c r="BM25" s="597" t="s">
        <v>22</v>
      </c>
      <c r="BN25" s="598" t="s">
        <v>427</v>
      </c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39"/>
      <c r="BZ25" s="139"/>
      <c r="CA25" s="139"/>
      <c r="CB25" s="139">
        <f t="shared" si="39"/>
        <v>0</v>
      </c>
      <c r="CC25" s="597" t="s">
        <v>22</v>
      </c>
      <c r="CD25" s="598" t="s">
        <v>427</v>
      </c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39"/>
      <c r="CP25" s="139"/>
      <c r="CQ25" s="139"/>
      <c r="CR25" s="139">
        <f t="shared" si="40"/>
        <v>0</v>
      </c>
      <c r="CS25" s="597" t="s">
        <v>22</v>
      </c>
      <c r="CT25" s="598" t="s">
        <v>427</v>
      </c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39"/>
      <c r="DF25" s="139"/>
      <c r="DG25" s="139"/>
      <c r="DH25" s="139">
        <f t="shared" si="41"/>
        <v>0</v>
      </c>
      <c r="DI25" s="597" t="s">
        <v>22</v>
      </c>
      <c r="DJ25" s="598" t="s">
        <v>427</v>
      </c>
      <c r="DK25" s="370"/>
      <c r="DL25" s="144"/>
      <c r="DM25" s="370"/>
      <c r="DN25" s="370"/>
      <c r="DO25" s="370"/>
      <c r="DP25" s="370"/>
      <c r="DQ25" s="370"/>
      <c r="DR25" s="370"/>
      <c r="DS25" s="370"/>
      <c r="DT25" s="370"/>
      <c r="DU25" s="168"/>
      <c r="DV25" s="139"/>
      <c r="DW25" s="139"/>
      <c r="DX25" s="139">
        <f t="shared" si="42"/>
        <v>0</v>
      </c>
      <c r="DY25" s="597" t="s">
        <v>22</v>
      </c>
      <c r="DZ25" s="598" t="s">
        <v>427</v>
      </c>
      <c r="EA25" s="96">
        <f t="shared" si="43"/>
        <v>0</v>
      </c>
      <c r="EB25" s="96">
        <f t="shared" si="19"/>
        <v>0</v>
      </c>
      <c r="EC25" s="96">
        <f t="shared" si="20"/>
        <v>0</v>
      </c>
      <c r="ED25" s="96">
        <f t="shared" si="21"/>
        <v>0</v>
      </c>
      <c r="EE25" s="96">
        <f t="shared" si="22"/>
        <v>0</v>
      </c>
      <c r="EF25" s="96">
        <f t="shared" si="23"/>
        <v>0</v>
      </c>
      <c r="EG25" s="96">
        <f t="shared" si="24"/>
        <v>0</v>
      </c>
      <c r="EH25" s="96">
        <f t="shared" si="25"/>
        <v>0</v>
      </c>
      <c r="EI25" s="96">
        <f t="shared" si="26"/>
        <v>0</v>
      </c>
      <c r="EJ25" s="96">
        <f t="shared" si="27"/>
        <v>0</v>
      </c>
      <c r="EK25" s="96">
        <f t="shared" si="28"/>
        <v>0</v>
      </c>
      <c r="EL25" s="96">
        <f t="shared" si="29"/>
        <v>0</v>
      </c>
      <c r="EM25" s="96">
        <f t="shared" si="30"/>
        <v>0</v>
      </c>
      <c r="EN25" s="96">
        <f t="shared" si="31"/>
        <v>0</v>
      </c>
      <c r="EO25" s="50"/>
      <c r="EP25" s="50"/>
    </row>
    <row r="26" spans="1:146" ht="15" customHeight="1" x14ac:dyDescent="0.25">
      <c r="A26" s="597" t="s">
        <v>22</v>
      </c>
      <c r="B26" s="727" t="s">
        <v>94</v>
      </c>
      <c r="C26" s="370">
        <v>0</v>
      </c>
      <c r="D26" s="144">
        <v>0</v>
      </c>
      <c r="E26" s="370">
        <v>0</v>
      </c>
      <c r="F26" s="370"/>
      <c r="G26" s="370">
        <v>0</v>
      </c>
      <c r="H26" s="370">
        <v>0</v>
      </c>
      <c r="I26" s="370">
        <v>0</v>
      </c>
      <c r="J26" s="370">
        <v>0</v>
      </c>
      <c r="K26" s="370">
        <v>0</v>
      </c>
      <c r="L26" s="370">
        <v>0</v>
      </c>
      <c r="M26" s="168">
        <f t="shared" si="32"/>
        <v>0</v>
      </c>
      <c r="N26" s="168">
        <f t="shared" ref="N26:N29" si="68">D26+H26+L26</f>
        <v>0</v>
      </c>
      <c r="O26" s="168">
        <f t="shared" ref="O26:O29" si="69">E26+I26+M26</f>
        <v>0</v>
      </c>
      <c r="P26" s="168">
        <f t="shared" si="1"/>
        <v>0</v>
      </c>
      <c r="Q26" s="597" t="s">
        <v>22</v>
      </c>
      <c r="R26" s="727" t="s">
        <v>94</v>
      </c>
      <c r="S26" s="52">
        <v>0</v>
      </c>
      <c r="T26" s="144">
        <v>0</v>
      </c>
      <c r="U26" s="144">
        <v>0</v>
      </c>
      <c r="V26" s="52">
        <v>0</v>
      </c>
      <c r="W26" s="370">
        <v>0</v>
      </c>
      <c r="X26" s="144">
        <v>0</v>
      </c>
      <c r="Y26" s="144">
        <v>0</v>
      </c>
      <c r="Z26" s="144">
        <v>0</v>
      </c>
      <c r="AA26" s="52">
        <v>0</v>
      </c>
      <c r="AB26" s="144">
        <v>0</v>
      </c>
      <c r="AC26" s="17">
        <f t="shared" si="33"/>
        <v>0</v>
      </c>
      <c r="AD26" s="139">
        <f t="shared" si="34"/>
        <v>0</v>
      </c>
      <c r="AE26" s="139">
        <f t="shared" si="35"/>
        <v>0</v>
      </c>
      <c r="AF26" s="139">
        <f t="shared" si="36"/>
        <v>0</v>
      </c>
      <c r="AG26" s="597" t="s">
        <v>22</v>
      </c>
      <c r="AH26" s="598" t="s">
        <v>94</v>
      </c>
      <c r="AI26" s="52">
        <v>0</v>
      </c>
      <c r="AJ26" s="144">
        <v>0</v>
      </c>
      <c r="AK26" s="144">
        <v>0</v>
      </c>
      <c r="AL26" s="144"/>
      <c r="AM26" s="52">
        <v>0</v>
      </c>
      <c r="AN26" s="144">
        <v>0</v>
      </c>
      <c r="AO26" s="144">
        <v>0</v>
      </c>
      <c r="AP26" s="144">
        <v>0</v>
      </c>
      <c r="AQ26" s="52">
        <v>0</v>
      </c>
      <c r="AR26" s="144">
        <v>0</v>
      </c>
      <c r="AS26" s="17">
        <f t="shared" si="2"/>
        <v>0</v>
      </c>
      <c r="AT26" s="139">
        <f t="shared" si="3"/>
        <v>0</v>
      </c>
      <c r="AU26" s="139">
        <f t="shared" si="4"/>
        <v>0</v>
      </c>
      <c r="AV26" s="139">
        <f t="shared" si="37"/>
        <v>0</v>
      </c>
      <c r="AW26" s="597" t="s">
        <v>22</v>
      </c>
      <c r="AX26" s="598" t="s">
        <v>94</v>
      </c>
      <c r="AY26" s="52">
        <v>0</v>
      </c>
      <c r="AZ26" s="144">
        <v>0</v>
      </c>
      <c r="BA26" s="144">
        <v>0</v>
      </c>
      <c r="BB26" s="144"/>
      <c r="BC26" s="52">
        <v>0</v>
      </c>
      <c r="BD26" s="144">
        <v>0</v>
      </c>
      <c r="BE26" s="144">
        <v>0</v>
      </c>
      <c r="BF26" s="144">
        <v>0</v>
      </c>
      <c r="BG26" s="52">
        <v>0</v>
      </c>
      <c r="BH26" s="144">
        <v>0</v>
      </c>
      <c r="BI26" s="17">
        <f t="shared" si="5"/>
        <v>0</v>
      </c>
      <c r="BJ26" s="139">
        <f t="shared" si="6"/>
        <v>0</v>
      </c>
      <c r="BK26" s="139">
        <f t="shared" si="7"/>
        <v>0</v>
      </c>
      <c r="BL26" s="139">
        <f t="shared" si="38"/>
        <v>0</v>
      </c>
      <c r="BM26" s="597" t="s">
        <v>22</v>
      </c>
      <c r="BN26" s="598" t="s">
        <v>94</v>
      </c>
      <c r="BO26" s="52">
        <v>0</v>
      </c>
      <c r="BP26" s="144">
        <v>0</v>
      </c>
      <c r="BQ26" s="144">
        <v>0</v>
      </c>
      <c r="BR26" s="144"/>
      <c r="BS26" s="52">
        <v>0</v>
      </c>
      <c r="BT26" s="144">
        <v>0</v>
      </c>
      <c r="BU26" s="144">
        <v>0</v>
      </c>
      <c r="BV26" s="144">
        <v>0</v>
      </c>
      <c r="BW26" s="52">
        <v>0</v>
      </c>
      <c r="BX26" s="144">
        <v>0</v>
      </c>
      <c r="BY26" s="17">
        <f t="shared" si="8"/>
        <v>0</v>
      </c>
      <c r="BZ26" s="139">
        <f t="shared" si="9"/>
        <v>0</v>
      </c>
      <c r="CA26" s="139">
        <f t="shared" si="48"/>
        <v>0</v>
      </c>
      <c r="CB26" s="139">
        <f t="shared" si="39"/>
        <v>0</v>
      </c>
      <c r="CC26" s="597" t="s">
        <v>22</v>
      </c>
      <c r="CD26" s="598" t="s">
        <v>94</v>
      </c>
      <c r="CE26" s="52">
        <v>0</v>
      </c>
      <c r="CF26" s="144">
        <v>0</v>
      </c>
      <c r="CG26" s="144">
        <v>0</v>
      </c>
      <c r="CH26" s="144"/>
      <c r="CI26" s="52">
        <v>0</v>
      </c>
      <c r="CJ26" s="144">
        <v>0</v>
      </c>
      <c r="CK26" s="144">
        <v>0</v>
      </c>
      <c r="CL26" s="144">
        <v>0</v>
      </c>
      <c r="CM26" s="52">
        <v>0</v>
      </c>
      <c r="CN26" s="144">
        <v>0</v>
      </c>
      <c r="CO26" s="17">
        <f t="shared" si="10"/>
        <v>0</v>
      </c>
      <c r="CP26" s="139">
        <f t="shared" si="11"/>
        <v>0</v>
      </c>
      <c r="CQ26" s="139">
        <f t="shared" si="12"/>
        <v>0</v>
      </c>
      <c r="CR26" s="139">
        <f t="shared" si="40"/>
        <v>0</v>
      </c>
      <c r="CS26" s="597" t="s">
        <v>22</v>
      </c>
      <c r="CT26" s="598" t="s">
        <v>94</v>
      </c>
      <c r="CU26" s="144">
        <v>0</v>
      </c>
      <c r="CV26" s="144">
        <v>0</v>
      </c>
      <c r="CW26" s="144">
        <v>0</v>
      </c>
      <c r="CX26" s="144"/>
      <c r="CY26" s="144">
        <v>0</v>
      </c>
      <c r="CZ26" s="144">
        <v>0</v>
      </c>
      <c r="DA26" s="144">
        <v>0</v>
      </c>
      <c r="DB26" s="144">
        <v>0</v>
      </c>
      <c r="DC26" s="144">
        <v>0</v>
      </c>
      <c r="DD26" s="144">
        <v>0</v>
      </c>
      <c r="DE26" s="139">
        <f t="shared" si="13"/>
        <v>0</v>
      </c>
      <c r="DF26" s="139">
        <f t="shared" si="14"/>
        <v>0</v>
      </c>
      <c r="DG26" s="139">
        <f t="shared" si="15"/>
        <v>0</v>
      </c>
      <c r="DH26" s="139">
        <f t="shared" si="41"/>
        <v>0</v>
      </c>
      <c r="DI26" s="597" t="s">
        <v>22</v>
      </c>
      <c r="DJ26" s="598" t="s">
        <v>94</v>
      </c>
      <c r="DK26" s="370">
        <v>0</v>
      </c>
      <c r="DL26" s="144">
        <v>0</v>
      </c>
      <c r="DM26" s="370">
        <v>0</v>
      </c>
      <c r="DN26" s="370"/>
      <c r="DO26" s="370">
        <v>0</v>
      </c>
      <c r="DP26" s="370">
        <v>0</v>
      </c>
      <c r="DQ26" s="370">
        <v>0</v>
      </c>
      <c r="DR26" s="370">
        <v>0</v>
      </c>
      <c r="DS26" s="370">
        <v>0</v>
      </c>
      <c r="DT26" s="370">
        <v>0</v>
      </c>
      <c r="DU26" s="168">
        <f t="shared" si="16"/>
        <v>0</v>
      </c>
      <c r="DV26" s="139">
        <f t="shared" si="17"/>
        <v>0</v>
      </c>
      <c r="DW26" s="139">
        <f t="shared" si="18"/>
        <v>0</v>
      </c>
      <c r="DX26" s="139">
        <f t="shared" si="42"/>
        <v>0</v>
      </c>
      <c r="DY26" s="597" t="s">
        <v>22</v>
      </c>
      <c r="DZ26" s="598" t="s">
        <v>94</v>
      </c>
      <c r="EA26" s="96">
        <f t="shared" si="43"/>
        <v>0</v>
      </c>
      <c r="EB26" s="96">
        <f t="shared" si="19"/>
        <v>0</v>
      </c>
      <c r="EC26" s="96">
        <f t="shared" si="20"/>
        <v>0</v>
      </c>
      <c r="ED26" s="96">
        <f t="shared" si="21"/>
        <v>0</v>
      </c>
      <c r="EE26" s="96">
        <f t="shared" si="22"/>
        <v>0</v>
      </c>
      <c r="EF26" s="96">
        <f t="shared" si="23"/>
        <v>0</v>
      </c>
      <c r="EG26" s="96">
        <f t="shared" si="24"/>
        <v>0</v>
      </c>
      <c r="EH26" s="96">
        <f t="shared" si="25"/>
        <v>0</v>
      </c>
      <c r="EI26" s="96">
        <f t="shared" si="26"/>
        <v>0</v>
      </c>
      <c r="EJ26" s="96">
        <f t="shared" si="27"/>
        <v>0</v>
      </c>
      <c r="EK26" s="96">
        <f t="shared" si="28"/>
        <v>0</v>
      </c>
      <c r="EL26" s="96">
        <f t="shared" si="29"/>
        <v>0</v>
      </c>
      <c r="EM26" s="96">
        <f t="shared" si="30"/>
        <v>0</v>
      </c>
      <c r="EN26" s="96">
        <f t="shared" si="31"/>
        <v>0</v>
      </c>
      <c r="EO26" s="50"/>
      <c r="EP26" s="50"/>
    </row>
    <row r="27" spans="1:146" ht="15" customHeight="1" x14ac:dyDescent="0.25">
      <c r="A27" s="590" t="s">
        <v>23</v>
      </c>
      <c r="B27" s="728" t="s">
        <v>172</v>
      </c>
      <c r="C27" s="370">
        <v>0</v>
      </c>
      <c r="D27" s="144">
        <v>15603778</v>
      </c>
      <c r="E27" s="370">
        <v>15603778</v>
      </c>
      <c r="F27" s="370">
        <v>16288759</v>
      </c>
      <c r="G27" s="370">
        <v>0</v>
      </c>
      <c r="H27" s="370">
        <v>0</v>
      </c>
      <c r="I27" s="370">
        <v>0</v>
      </c>
      <c r="J27" s="370">
        <v>0</v>
      </c>
      <c r="K27" s="370">
        <v>0</v>
      </c>
      <c r="L27" s="370">
        <v>0</v>
      </c>
      <c r="M27" s="168">
        <f t="shared" si="32"/>
        <v>0</v>
      </c>
      <c r="N27" s="168">
        <f t="shared" si="68"/>
        <v>15603778</v>
      </c>
      <c r="O27" s="168">
        <f t="shared" si="69"/>
        <v>15603778</v>
      </c>
      <c r="P27" s="168">
        <f t="shared" si="1"/>
        <v>16288759</v>
      </c>
      <c r="Q27" s="590" t="s">
        <v>23</v>
      </c>
      <c r="R27" s="728" t="s">
        <v>172</v>
      </c>
      <c r="S27" s="52">
        <v>0</v>
      </c>
      <c r="T27" s="360">
        <v>2135869</v>
      </c>
      <c r="U27" s="360">
        <v>2135869</v>
      </c>
      <c r="V27" s="52">
        <v>2120876</v>
      </c>
      <c r="W27" s="370">
        <v>0</v>
      </c>
      <c r="X27" s="144">
        <v>0</v>
      </c>
      <c r="Y27" s="144">
        <v>0</v>
      </c>
      <c r="Z27" s="144">
        <v>0</v>
      </c>
      <c r="AA27" s="52">
        <v>0</v>
      </c>
      <c r="AB27" s="144">
        <v>0</v>
      </c>
      <c r="AC27" s="17">
        <f t="shared" si="33"/>
        <v>0</v>
      </c>
      <c r="AD27" s="139">
        <f t="shared" si="34"/>
        <v>2135869</v>
      </c>
      <c r="AE27" s="139">
        <f t="shared" si="35"/>
        <v>2135869</v>
      </c>
      <c r="AF27" s="139">
        <f t="shared" si="36"/>
        <v>2120876</v>
      </c>
      <c r="AG27" s="590" t="s">
        <v>23</v>
      </c>
      <c r="AH27" s="599" t="s">
        <v>172</v>
      </c>
      <c r="AI27" s="52">
        <v>0</v>
      </c>
      <c r="AJ27" s="360">
        <v>1631677</v>
      </c>
      <c r="AK27" s="360">
        <v>1631677</v>
      </c>
      <c r="AL27" s="360">
        <v>1634031</v>
      </c>
      <c r="AM27" s="52">
        <v>0</v>
      </c>
      <c r="AN27" s="144">
        <v>0</v>
      </c>
      <c r="AO27" s="144">
        <v>0</v>
      </c>
      <c r="AP27" s="144">
        <v>0</v>
      </c>
      <c r="AQ27" s="52">
        <v>0</v>
      </c>
      <c r="AR27" s="144">
        <v>0</v>
      </c>
      <c r="AS27" s="17">
        <f t="shared" si="2"/>
        <v>0</v>
      </c>
      <c r="AT27" s="139">
        <f t="shared" si="3"/>
        <v>1631677</v>
      </c>
      <c r="AU27" s="139">
        <f t="shared" si="4"/>
        <v>1631677</v>
      </c>
      <c r="AV27" s="139">
        <f t="shared" si="37"/>
        <v>1634031</v>
      </c>
      <c r="AW27" s="590" t="s">
        <v>23</v>
      </c>
      <c r="AX27" s="599" t="s">
        <v>172</v>
      </c>
      <c r="AY27" s="52">
        <v>0</v>
      </c>
      <c r="AZ27" s="508">
        <v>3498561</v>
      </c>
      <c r="BA27" s="508">
        <v>3498561</v>
      </c>
      <c r="BB27" s="508">
        <v>3528328</v>
      </c>
      <c r="BC27" s="52">
        <v>0</v>
      </c>
      <c r="BD27" s="144">
        <v>0</v>
      </c>
      <c r="BE27" s="144">
        <v>0</v>
      </c>
      <c r="BF27" s="144">
        <v>0</v>
      </c>
      <c r="BG27" s="52">
        <v>0</v>
      </c>
      <c r="BH27" s="144">
        <v>0</v>
      </c>
      <c r="BI27" s="17">
        <f t="shared" si="5"/>
        <v>0</v>
      </c>
      <c r="BJ27" s="139">
        <f t="shared" si="6"/>
        <v>3498561</v>
      </c>
      <c r="BK27" s="139">
        <f t="shared" si="7"/>
        <v>3498561</v>
      </c>
      <c r="BL27" s="139">
        <f t="shared" si="38"/>
        <v>3528328</v>
      </c>
      <c r="BM27" s="590" t="s">
        <v>23</v>
      </c>
      <c r="BN27" s="599" t="s">
        <v>172</v>
      </c>
      <c r="BO27" s="52">
        <v>0</v>
      </c>
      <c r="BP27" s="360">
        <v>2062637</v>
      </c>
      <c r="BQ27" s="360">
        <v>2062637</v>
      </c>
      <c r="BR27" s="360">
        <v>1924057</v>
      </c>
      <c r="BS27" s="52">
        <v>0</v>
      </c>
      <c r="BT27" s="144">
        <v>0</v>
      </c>
      <c r="BU27" s="144">
        <v>0</v>
      </c>
      <c r="BV27" s="144">
        <v>0</v>
      </c>
      <c r="BW27" s="52">
        <v>0</v>
      </c>
      <c r="BX27" s="144">
        <v>0</v>
      </c>
      <c r="BY27" s="17">
        <f t="shared" si="8"/>
        <v>0</v>
      </c>
      <c r="BZ27" s="139">
        <f t="shared" si="9"/>
        <v>2062637</v>
      </c>
      <c r="CA27" s="139">
        <f t="shared" si="48"/>
        <v>2062637</v>
      </c>
      <c r="CB27" s="139">
        <f t="shared" si="39"/>
        <v>1924057</v>
      </c>
      <c r="CC27" s="590" t="s">
        <v>23</v>
      </c>
      <c r="CD27" s="599" t="s">
        <v>172</v>
      </c>
      <c r="CE27" s="52">
        <v>0</v>
      </c>
      <c r="CF27" s="144">
        <v>1167236</v>
      </c>
      <c r="CG27" s="144">
        <v>1167236</v>
      </c>
      <c r="CH27" s="144">
        <v>1164943</v>
      </c>
      <c r="CI27" s="52">
        <v>0</v>
      </c>
      <c r="CJ27" s="144">
        <v>0</v>
      </c>
      <c r="CK27" s="144">
        <v>0</v>
      </c>
      <c r="CL27" s="144">
        <v>0</v>
      </c>
      <c r="CM27" s="52">
        <v>0</v>
      </c>
      <c r="CN27" s="144">
        <v>0</v>
      </c>
      <c r="CO27" s="17">
        <f t="shared" si="10"/>
        <v>0</v>
      </c>
      <c r="CP27" s="139">
        <f t="shared" si="11"/>
        <v>1167236</v>
      </c>
      <c r="CQ27" s="139">
        <f t="shared" si="12"/>
        <v>1167236</v>
      </c>
      <c r="CR27" s="139">
        <f t="shared" si="40"/>
        <v>1164943</v>
      </c>
      <c r="CS27" s="590" t="s">
        <v>23</v>
      </c>
      <c r="CT27" s="599" t="s">
        <v>172</v>
      </c>
      <c r="CU27" s="144">
        <v>0</v>
      </c>
      <c r="CV27" s="144">
        <v>445689</v>
      </c>
      <c r="CW27" s="144">
        <v>445689</v>
      </c>
      <c r="CX27" s="144">
        <v>677456</v>
      </c>
      <c r="CY27" s="144">
        <v>0</v>
      </c>
      <c r="CZ27" s="144">
        <v>0</v>
      </c>
      <c r="DA27" s="144">
        <v>0</v>
      </c>
      <c r="DB27" s="144">
        <v>0</v>
      </c>
      <c r="DC27" s="144">
        <v>0</v>
      </c>
      <c r="DD27" s="144">
        <v>0</v>
      </c>
      <c r="DE27" s="139">
        <f t="shared" si="13"/>
        <v>0</v>
      </c>
      <c r="DF27" s="139">
        <f t="shared" si="14"/>
        <v>445689</v>
      </c>
      <c r="DG27" s="139">
        <f t="shared" si="15"/>
        <v>445689</v>
      </c>
      <c r="DH27" s="139">
        <f t="shared" si="41"/>
        <v>677456</v>
      </c>
      <c r="DI27" s="590" t="s">
        <v>23</v>
      </c>
      <c r="DJ27" s="599" t="s">
        <v>172</v>
      </c>
      <c r="DK27" s="370">
        <v>0</v>
      </c>
      <c r="DL27" s="360">
        <v>716919</v>
      </c>
      <c r="DM27" s="506">
        <v>716919</v>
      </c>
      <c r="DN27" s="506">
        <f>+DM27</f>
        <v>716919</v>
      </c>
      <c r="DO27" s="370">
        <v>0</v>
      </c>
      <c r="DP27" s="370">
        <v>0</v>
      </c>
      <c r="DQ27" s="370">
        <v>0</v>
      </c>
      <c r="DR27" s="370">
        <v>0</v>
      </c>
      <c r="DS27" s="370">
        <v>0</v>
      </c>
      <c r="DT27" s="370">
        <v>0</v>
      </c>
      <c r="DU27" s="168">
        <f t="shared" si="16"/>
        <v>0</v>
      </c>
      <c r="DV27" s="139">
        <f t="shared" si="17"/>
        <v>716919</v>
      </c>
      <c r="DW27" s="139">
        <f t="shared" si="18"/>
        <v>716919</v>
      </c>
      <c r="DX27" s="139">
        <f t="shared" si="42"/>
        <v>716919</v>
      </c>
      <c r="DY27" s="590" t="s">
        <v>23</v>
      </c>
      <c r="DZ27" s="599" t="s">
        <v>172</v>
      </c>
      <c r="EA27" s="96">
        <f t="shared" si="43"/>
        <v>0</v>
      </c>
      <c r="EB27" s="96">
        <f t="shared" si="19"/>
        <v>27262366</v>
      </c>
      <c r="EC27" s="96">
        <f t="shared" si="20"/>
        <v>27262366</v>
      </c>
      <c r="ED27" s="96">
        <f t="shared" si="21"/>
        <v>28055369</v>
      </c>
      <c r="EE27" s="96">
        <f t="shared" si="22"/>
        <v>0</v>
      </c>
      <c r="EF27" s="96">
        <f t="shared" si="23"/>
        <v>0</v>
      </c>
      <c r="EG27" s="96">
        <f t="shared" si="24"/>
        <v>0</v>
      </c>
      <c r="EH27" s="96">
        <f t="shared" si="25"/>
        <v>0</v>
      </c>
      <c r="EI27" s="96">
        <f t="shared" si="26"/>
        <v>0</v>
      </c>
      <c r="EJ27" s="96">
        <f t="shared" si="27"/>
        <v>0</v>
      </c>
      <c r="EK27" s="96">
        <f t="shared" si="28"/>
        <v>0</v>
      </c>
      <c r="EL27" s="96">
        <f t="shared" si="29"/>
        <v>27262366</v>
      </c>
      <c r="EM27" s="96">
        <f t="shared" si="30"/>
        <v>27262366</v>
      </c>
      <c r="EN27" s="96">
        <f t="shared" si="31"/>
        <v>28055369</v>
      </c>
      <c r="EO27" s="50"/>
      <c r="EP27" s="50"/>
    </row>
    <row r="28" spans="1:146" ht="15" customHeight="1" x14ac:dyDescent="0.25">
      <c r="A28" s="597" t="s">
        <v>24</v>
      </c>
      <c r="B28" s="727" t="s">
        <v>96</v>
      </c>
      <c r="C28" s="370">
        <v>384636000</v>
      </c>
      <c r="D28" s="144">
        <f>+D29</f>
        <v>393636000</v>
      </c>
      <c r="E28" s="370">
        <f>+E29</f>
        <v>427465222</v>
      </c>
      <c r="F28" s="370">
        <v>427763327</v>
      </c>
      <c r="G28" s="370">
        <v>0</v>
      </c>
      <c r="H28" s="370">
        <v>0</v>
      </c>
      <c r="I28" s="370">
        <v>0</v>
      </c>
      <c r="J28" s="370">
        <v>0</v>
      </c>
      <c r="K28" s="370">
        <v>0</v>
      </c>
      <c r="L28" s="370">
        <v>0</v>
      </c>
      <c r="M28" s="168">
        <f t="shared" si="32"/>
        <v>384636000</v>
      </c>
      <c r="N28" s="168">
        <f t="shared" si="68"/>
        <v>393636000</v>
      </c>
      <c r="O28" s="168">
        <f t="shared" si="69"/>
        <v>812101222</v>
      </c>
      <c r="P28" s="168">
        <f t="shared" si="1"/>
        <v>427763327</v>
      </c>
      <c r="Q28" s="597" t="s">
        <v>24</v>
      </c>
      <c r="R28" s="727" t="s">
        <v>96</v>
      </c>
      <c r="S28" s="52">
        <v>60787000</v>
      </c>
      <c r="T28" s="144">
        <v>60787000</v>
      </c>
      <c r="U28" s="144">
        <f>60787000-9904869+1314000-2800000</f>
        <v>49396131</v>
      </c>
      <c r="V28" s="52">
        <f>+V29</f>
        <v>51087000</v>
      </c>
      <c r="W28" s="370">
        <v>0</v>
      </c>
      <c r="X28" s="144">
        <v>0</v>
      </c>
      <c r="Y28" s="144">
        <v>0</v>
      </c>
      <c r="Z28" s="144">
        <v>0</v>
      </c>
      <c r="AA28" s="52">
        <v>0</v>
      </c>
      <c r="AB28" s="144">
        <v>0</v>
      </c>
      <c r="AC28" s="17">
        <f t="shared" si="33"/>
        <v>60787000</v>
      </c>
      <c r="AD28" s="139">
        <f t="shared" si="34"/>
        <v>60787000</v>
      </c>
      <c r="AE28" s="139">
        <f t="shared" si="35"/>
        <v>49396131</v>
      </c>
      <c r="AF28" s="139">
        <f t="shared" si="36"/>
        <v>51087000</v>
      </c>
      <c r="AG28" s="597" t="s">
        <v>24</v>
      </c>
      <c r="AH28" s="598" t="s">
        <v>96</v>
      </c>
      <c r="AI28" s="52">
        <v>100585000</v>
      </c>
      <c r="AJ28" s="144">
        <v>100585000</v>
      </c>
      <c r="AK28" s="144">
        <f>100585000+18698990-1640000</f>
        <v>117643990</v>
      </c>
      <c r="AL28" s="144">
        <v>117285000</v>
      </c>
      <c r="AM28" s="52">
        <v>0</v>
      </c>
      <c r="AN28" s="144">
        <v>0</v>
      </c>
      <c r="AO28" s="144">
        <v>0</v>
      </c>
      <c r="AP28" s="144">
        <v>0</v>
      </c>
      <c r="AQ28" s="52">
        <v>0</v>
      </c>
      <c r="AR28" s="144">
        <v>0</v>
      </c>
      <c r="AS28" s="17">
        <f t="shared" si="2"/>
        <v>100585000</v>
      </c>
      <c r="AT28" s="139">
        <f t="shared" si="3"/>
        <v>100585000</v>
      </c>
      <c r="AU28" s="139">
        <f t="shared" si="4"/>
        <v>117643990</v>
      </c>
      <c r="AV28" s="139">
        <f t="shared" si="37"/>
        <v>117285000</v>
      </c>
      <c r="AW28" s="597" t="s">
        <v>24</v>
      </c>
      <c r="AX28" s="598" t="s">
        <v>96</v>
      </c>
      <c r="AY28" s="52">
        <v>243532000</v>
      </c>
      <c r="AZ28" s="144">
        <v>243532000</v>
      </c>
      <c r="BA28" s="144">
        <f>+BA29</f>
        <v>237726439</v>
      </c>
      <c r="BB28" s="144">
        <v>243532000</v>
      </c>
      <c r="BC28" s="52">
        <v>0</v>
      </c>
      <c r="BD28" s="144">
        <v>0</v>
      </c>
      <c r="BE28" s="144">
        <v>0</v>
      </c>
      <c r="BF28" s="144">
        <v>0</v>
      </c>
      <c r="BG28" s="52">
        <v>0</v>
      </c>
      <c r="BH28" s="144">
        <v>0</v>
      </c>
      <c r="BI28" s="17">
        <f t="shared" si="5"/>
        <v>243532000</v>
      </c>
      <c r="BJ28" s="139">
        <f t="shared" si="6"/>
        <v>243532000</v>
      </c>
      <c r="BK28" s="139">
        <f t="shared" si="7"/>
        <v>237726439</v>
      </c>
      <c r="BL28" s="139">
        <f t="shared" si="38"/>
        <v>243532000</v>
      </c>
      <c r="BM28" s="597" t="s">
        <v>24</v>
      </c>
      <c r="BN28" s="598" t="s">
        <v>96</v>
      </c>
      <c r="BO28" s="144">
        <v>175144000</v>
      </c>
      <c r="BP28" s="144">
        <v>175144000</v>
      </c>
      <c r="BQ28" s="144">
        <f>+BQ29</f>
        <v>157024363</v>
      </c>
      <c r="BR28" s="144">
        <f>+BR29</f>
        <v>175144000</v>
      </c>
      <c r="BS28" s="52">
        <v>0</v>
      </c>
      <c r="BT28" s="144">
        <v>0</v>
      </c>
      <c r="BU28" s="144">
        <v>0</v>
      </c>
      <c r="BV28" s="144">
        <v>0</v>
      </c>
      <c r="BW28" s="52">
        <v>0</v>
      </c>
      <c r="BX28" s="144">
        <v>0</v>
      </c>
      <c r="BY28" s="17">
        <f t="shared" si="8"/>
        <v>175144000</v>
      </c>
      <c r="BZ28" s="139">
        <f t="shared" si="9"/>
        <v>175144000</v>
      </c>
      <c r="CA28" s="139">
        <f t="shared" si="48"/>
        <v>157024363</v>
      </c>
      <c r="CB28" s="139">
        <f t="shared" si="39"/>
        <v>175144000</v>
      </c>
      <c r="CC28" s="597" t="s">
        <v>24</v>
      </c>
      <c r="CD28" s="598" t="s">
        <v>96</v>
      </c>
      <c r="CE28" s="144">
        <v>30529000</v>
      </c>
      <c r="CF28" s="144">
        <v>30529000</v>
      </c>
      <c r="CG28" s="144">
        <f>38476827-63</f>
        <v>38476764</v>
      </c>
      <c r="CH28" s="144">
        <v>35529000</v>
      </c>
      <c r="CI28" s="52">
        <v>0</v>
      </c>
      <c r="CJ28" s="144">
        <v>0</v>
      </c>
      <c r="CK28" s="144">
        <v>0</v>
      </c>
      <c r="CL28" s="144">
        <v>0</v>
      </c>
      <c r="CM28" s="52">
        <v>0</v>
      </c>
      <c r="CN28" s="144">
        <v>0</v>
      </c>
      <c r="CO28" s="17">
        <f t="shared" si="10"/>
        <v>30529000</v>
      </c>
      <c r="CP28" s="139">
        <f t="shared" si="11"/>
        <v>30529000</v>
      </c>
      <c r="CQ28" s="139">
        <f t="shared" si="12"/>
        <v>38476764</v>
      </c>
      <c r="CR28" s="139">
        <f t="shared" si="40"/>
        <v>35529000</v>
      </c>
      <c r="CS28" s="597" t="s">
        <v>24</v>
      </c>
      <c r="CT28" s="598" t="s">
        <v>96</v>
      </c>
      <c r="CU28" s="144">
        <v>23453000</v>
      </c>
      <c r="CV28" s="144">
        <v>23898689</v>
      </c>
      <c r="CW28" s="144">
        <f>23898689-378</f>
        <v>23898311</v>
      </c>
      <c r="CX28" s="144">
        <v>23453000</v>
      </c>
      <c r="CY28" s="144">
        <v>0</v>
      </c>
      <c r="CZ28" s="144">
        <v>0</v>
      </c>
      <c r="DA28" s="144">
        <v>0</v>
      </c>
      <c r="DB28" s="144">
        <v>0</v>
      </c>
      <c r="DC28" s="144">
        <v>0</v>
      </c>
      <c r="DD28" s="144">
        <v>0</v>
      </c>
      <c r="DE28" s="139">
        <f t="shared" si="13"/>
        <v>23453000</v>
      </c>
      <c r="DF28" s="139">
        <f t="shared" si="14"/>
        <v>23898689</v>
      </c>
      <c r="DG28" s="139">
        <f t="shared" si="15"/>
        <v>23898311</v>
      </c>
      <c r="DH28" s="139">
        <f t="shared" si="41"/>
        <v>23453000</v>
      </c>
      <c r="DI28" s="597" t="s">
        <v>24</v>
      </c>
      <c r="DJ28" s="598" t="s">
        <v>96</v>
      </c>
      <c r="DK28" s="370">
        <v>62270000</v>
      </c>
      <c r="DL28" s="144">
        <f>+DL29</f>
        <v>42270000</v>
      </c>
      <c r="DM28" s="370">
        <f>+DM29</f>
        <v>56335780</v>
      </c>
      <c r="DN28" s="370">
        <v>58495773</v>
      </c>
      <c r="DO28" s="370">
        <v>0</v>
      </c>
      <c r="DP28" s="370">
        <v>0</v>
      </c>
      <c r="DQ28" s="370">
        <v>0</v>
      </c>
      <c r="DR28" s="370">
        <v>0</v>
      </c>
      <c r="DS28" s="370">
        <v>0</v>
      </c>
      <c r="DT28" s="370">
        <v>0</v>
      </c>
      <c r="DU28" s="168">
        <f t="shared" si="16"/>
        <v>62270000</v>
      </c>
      <c r="DV28" s="139">
        <f t="shared" si="17"/>
        <v>42270000</v>
      </c>
      <c r="DW28" s="139">
        <f t="shared" si="18"/>
        <v>56335780</v>
      </c>
      <c r="DX28" s="139">
        <f t="shared" si="42"/>
        <v>58495773</v>
      </c>
      <c r="DY28" s="597" t="s">
        <v>24</v>
      </c>
      <c r="DZ28" s="598" t="s">
        <v>96</v>
      </c>
      <c r="EA28" s="96">
        <f t="shared" si="43"/>
        <v>1080936000</v>
      </c>
      <c r="EB28" s="96">
        <f t="shared" si="19"/>
        <v>1070381689</v>
      </c>
      <c r="EC28" s="96">
        <f t="shared" si="20"/>
        <v>1107967000</v>
      </c>
      <c r="ED28" s="96">
        <f t="shared" si="21"/>
        <v>1132289100</v>
      </c>
      <c r="EE28" s="96">
        <f t="shared" si="22"/>
        <v>0</v>
      </c>
      <c r="EF28" s="96">
        <f t="shared" si="23"/>
        <v>0</v>
      </c>
      <c r="EG28" s="96">
        <f t="shared" si="24"/>
        <v>0</v>
      </c>
      <c r="EH28" s="96">
        <f t="shared" si="25"/>
        <v>0</v>
      </c>
      <c r="EI28" s="96">
        <f t="shared" si="26"/>
        <v>0</v>
      </c>
      <c r="EJ28" s="96">
        <f t="shared" si="27"/>
        <v>0</v>
      </c>
      <c r="EK28" s="96">
        <f t="shared" si="28"/>
        <v>1080936000</v>
      </c>
      <c r="EL28" s="96">
        <f t="shared" si="29"/>
        <v>1070381689</v>
      </c>
      <c r="EM28" s="96">
        <f t="shared" si="30"/>
        <v>1492603000</v>
      </c>
      <c r="EN28" s="96">
        <f t="shared" si="31"/>
        <v>1132289100</v>
      </c>
      <c r="EO28" s="53"/>
      <c r="EP28" s="53"/>
    </row>
    <row r="29" spans="1:146" ht="15" customHeight="1" x14ac:dyDescent="0.25">
      <c r="A29" s="597" t="s">
        <v>133</v>
      </c>
      <c r="B29" s="727" t="s">
        <v>97</v>
      </c>
      <c r="C29" s="370">
        <v>384636000</v>
      </c>
      <c r="D29" s="144">
        <f>384636000+9000000</f>
        <v>393636000</v>
      </c>
      <c r="E29" s="370">
        <f>384636000+9000000+29096222+4733000</f>
        <v>427465222</v>
      </c>
      <c r="F29" s="370">
        <f>+F28</f>
        <v>427763327</v>
      </c>
      <c r="G29" s="370">
        <v>0</v>
      </c>
      <c r="H29" s="370">
        <v>0</v>
      </c>
      <c r="I29" s="370">
        <v>0</v>
      </c>
      <c r="J29" s="370">
        <v>0</v>
      </c>
      <c r="K29" s="370">
        <v>0</v>
      </c>
      <c r="L29" s="370">
        <v>0</v>
      </c>
      <c r="M29" s="168">
        <f t="shared" si="32"/>
        <v>384636000</v>
      </c>
      <c r="N29" s="168">
        <f t="shared" si="68"/>
        <v>393636000</v>
      </c>
      <c r="O29" s="168">
        <f t="shared" si="69"/>
        <v>812101222</v>
      </c>
      <c r="P29" s="168">
        <f>F29+J29+L29</f>
        <v>427763327</v>
      </c>
      <c r="Q29" s="597" t="s">
        <v>133</v>
      </c>
      <c r="R29" s="727" t="s">
        <v>97</v>
      </c>
      <c r="S29" s="144">
        <v>60787000</v>
      </c>
      <c r="T29" s="144">
        <v>60787000</v>
      </c>
      <c r="U29" s="144">
        <f>+U28</f>
        <v>49396131</v>
      </c>
      <c r="V29" s="52">
        <v>51087000</v>
      </c>
      <c r="W29" s="370">
        <v>0</v>
      </c>
      <c r="X29" s="144">
        <v>0</v>
      </c>
      <c r="Y29" s="144">
        <v>0</v>
      </c>
      <c r="Z29" s="144">
        <v>0</v>
      </c>
      <c r="AA29" s="52">
        <v>0</v>
      </c>
      <c r="AB29" s="144">
        <v>0</v>
      </c>
      <c r="AC29" s="17">
        <f t="shared" si="33"/>
        <v>60787000</v>
      </c>
      <c r="AD29" s="139">
        <f t="shared" si="34"/>
        <v>60787000</v>
      </c>
      <c r="AE29" s="139">
        <f t="shared" si="35"/>
        <v>49396131</v>
      </c>
      <c r="AF29" s="139">
        <f>V29+Z29+AB29</f>
        <v>51087000</v>
      </c>
      <c r="AG29" s="597" t="s">
        <v>133</v>
      </c>
      <c r="AH29" s="598" t="s">
        <v>97</v>
      </c>
      <c r="AI29" s="52">
        <v>100585000</v>
      </c>
      <c r="AJ29" s="144">
        <v>100585000</v>
      </c>
      <c r="AK29" s="144">
        <f>+AK28</f>
        <v>117643990</v>
      </c>
      <c r="AL29" s="144">
        <f>+AL28</f>
        <v>117285000</v>
      </c>
      <c r="AM29" s="52">
        <v>0</v>
      </c>
      <c r="AN29" s="144">
        <v>0</v>
      </c>
      <c r="AO29" s="144">
        <v>0</v>
      </c>
      <c r="AP29" s="144">
        <v>0</v>
      </c>
      <c r="AQ29" s="52">
        <v>0</v>
      </c>
      <c r="AR29" s="144">
        <v>0</v>
      </c>
      <c r="AS29" s="17">
        <f t="shared" si="2"/>
        <v>100585000</v>
      </c>
      <c r="AT29" s="139">
        <f t="shared" si="3"/>
        <v>100585000</v>
      </c>
      <c r="AU29" s="139">
        <f t="shared" si="4"/>
        <v>117643990</v>
      </c>
      <c r="AV29" s="139">
        <f>AL29+AP29+AR29</f>
        <v>117285000</v>
      </c>
      <c r="AW29" s="597" t="s">
        <v>133</v>
      </c>
      <c r="AX29" s="598" t="s">
        <v>97</v>
      </c>
      <c r="AY29" s="52">
        <v>243532000</v>
      </c>
      <c r="AZ29" s="144">
        <v>243532000</v>
      </c>
      <c r="BA29" s="144">
        <f>239906439+2315000+230000-460000-4265000</f>
        <v>237726439</v>
      </c>
      <c r="BB29" s="144">
        <f>+BB28</f>
        <v>243532000</v>
      </c>
      <c r="BC29" s="52">
        <v>0</v>
      </c>
      <c r="BD29" s="144">
        <v>0</v>
      </c>
      <c r="BE29" s="144">
        <v>0</v>
      </c>
      <c r="BF29" s="144">
        <v>0</v>
      </c>
      <c r="BG29" s="52">
        <v>0</v>
      </c>
      <c r="BH29" s="144">
        <v>0</v>
      </c>
      <c r="BI29" s="17">
        <f t="shared" si="5"/>
        <v>243532000</v>
      </c>
      <c r="BJ29" s="139">
        <f t="shared" si="6"/>
        <v>243532000</v>
      </c>
      <c r="BK29" s="139">
        <f t="shared" si="7"/>
        <v>237726439</v>
      </c>
      <c r="BL29" s="139">
        <f>BB29+BF29+BH29</f>
        <v>243532000</v>
      </c>
      <c r="BM29" s="597" t="s">
        <v>133</v>
      </c>
      <c r="BN29" s="598" t="s">
        <v>97</v>
      </c>
      <c r="BO29" s="52">
        <v>175144000</v>
      </c>
      <c r="BP29" s="144">
        <v>175144000</v>
      </c>
      <c r="BQ29" s="144">
        <f>175144000-18120000+363</f>
        <v>157024363</v>
      </c>
      <c r="BR29" s="144">
        <v>175144000</v>
      </c>
      <c r="BS29" s="52">
        <v>0</v>
      </c>
      <c r="BT29" s="144">
        <v>0</v>
      </c>
      <c r="BU29" s="144">
        <v>0</v>
      </c>
      <c r="BV29" s="144">
        <v>0</v>
      </c>
      <c r="BW29" s="52">
        <v>0</v>
      </c>
      <c r="BX29" s="144">
        <v>0</v>
      </c>
      <c r="BY29" s="17">
        <f t="shared" si="8"/>
        <v>175144000</v>
      </c>
      <c r="BZ29" s="139">
        <f t="shared" si="9"/>
        <v>175144000</v>
      </c>
      <c r="CA29" s="139">
        <f t="shared" si="48"/>
        <v>157024363</v>
      </c>
      <c r="CB29" s="139">
        <f>BR29+BV29+BX29</f>
        <v>175144000</v>
      </c>
      <c r="CC29" s="597" t="s">
        <v>133</v>
      </c>
      <c r="CD29" s="598" t="s">
        <v>97</v>
      </c>
      <c r="CE29" s="144">
        <v>30529000</v>
      </c>
      <c r="CF29" s="144">
        <v>30529000</v>
      </c>
      <c r="CG29" s="144">
        <f>+CG28</f>
        <v>38476764</v>
      </c>
      <c r="CH29" s="144">
        <f>+CH28</f>
        <v>35529000</v>
      </c>
      <c r="CI29" s="52">
        <v>0</v>
      </c>
      <c r="CJ29" s="144">
        <v>0</v>
      </c>
      <c r="CK29" s="144">
        <v>0</v>
      </c>
      <c r="CL29" s="144">
        <v>0</v>
      </c>
      <c r="CM29" s="52">
        <v>0</v>
      </c>
      <c r="CN29" s="144">
        <v>0</v>
      </c>
      <c r="CO29" s="17">
        <f t="shared" si="10"/>
        <v>30529000</v>
      </c>
      <c r="CP29" s="139">
        <f t="shared" si="11"/>
        <v>30529000</v>
      </c>
      <c r="CQ29" s="139">
        <f t="shared" si="12"/>
        <v>38476764</v>
      </c>
      <c r="CR29" s="139">
        <f>CH29+CL29+CN29</f>
        <v>35529000</v>
      </c>
      <c r="CS29" s="597" t="s">
        <v>133</v>
      </c>
      <c r="CT29" s="598" t="s">
        <v>97</v>
      </c>
      <c r="CU29" s="144">
        <v>23453000</v>
      </c>
      <c r="CV29" s="144">
        <v>23898689</v>
      </c>
      <c r="CW29" s="144">
        <f>+CW28</f>
        <v>23898311</v>
      </c>
      <c r="CX29" s="144">
        <f>+CX28</f>
        <v>23453000</v>
      </c>
      <c r="CY29" s="144">
        <v>0</v>
      </c>
      <c r="CZ29" s="144">
        <v>0</v>
      </c>
      <c r="DA29" s="144">
        <v>0</v>
      </c>
      <c r="DB29" s="144">
        <v>0</v>
      </c>
      <c r="DC29" s="144">
        <v>0</v>
      </c>
      <c r="DD29" s="144">
        <v>0</v>
      </c>
      <c r="DE29" s="139">
        <f t="shared" si="13"/>
        <v>23453000</v>
      </c>
      <c r="DF29" s="139">
        <f t="shared" si="14"/>
        <v>23898689</v>
      </c>
      <c r="DG29" s="139">
        <f t="shared" si="15"/>
        <v>23898311</v>
      </c>
      <c r="DH29" s="139">
        <f>CX29+DB29+DD29</f>
        <v>23453000</v>
      </c>
      <c r="DI29" s="597" t="s">
        <v>133</v>
      </c>
      <c r="DJ29" s="598" t="s">
        <v>97</v>
      </c>
      <c r="DK29" s="370">
        <v>62270000</v>
      </c>
      <c r="DL29" s="144">
        <f>62270000-20000000</f>
        <v>42270000</v>
      </c>
      <c r="DM29" s="370">
        <f>62270000-20000000+14066000-220</f>
        <v>56335780</v>
      </c>
      <c r="DN29" s="370">
        <f>+DN28</f>
        <v>58495773</v>
      </c>
      <c r="DO29" s="370">
        <v>0</v>
      </c>
      <c r="DP29" s="370">
        <v>0</v>
      </c>
      <c r="DQ29" s="370">
        <v>0</v>
      </c>
      <c r="DR29" s="370">
        <v>0</v>
      </c>
      <c r="DS29" s="370">
        <v>0</v>
      </c>
      <c r="DT29" s="370">
        <v>0</v>
      </c>
      <c r="DU29" s="168">
        <f t="shared" si="16"/>
        <v>62270000</v>
      </c>
      <c r="DV29" s="139">
        <f t="shared" si="17"/>
        <v>42270000</v>
      </c>
      <c r="DW29" s="139">
        <f t="shared" si="18"/>
        <v>56335780</v>
      </c>
      <c r="DX29" s="139">
        <f>DN29+DR29+DT29</f>
        <v>58495773</v>
      </c>
      <c r="DY29" s="597" t="s">
        <v>133</v>
      </c>
      <c r="DZ29" s="598" t="s">
        <v>97</v>
      </c>
      <c r="EA29" s="96">
        <f t="shared" si="43"/>
        <v>1080936000</v>
      </c>
      <c r="EB29" s="96">
        <f t="shared" si="19"/>
        <v>1070381689</v>
      </c>
      <c r="EC29" s="96">
        <f t="shared" si="20"/>
        <v>1107967000</v>
      </c>
      <c r="ED29" s="96">
        <f t="shared" si="21"/>
        <v>1132289100</v>
      </c>
      <c r="EE29" s="96">
        <f t="shared" si="22"/>
        <v>0</v>
      </c>
      <c r="EF29" s="96">
        <f t="shared" si="23"/>
        <v>0</v>
      </c>
      <c r="EG29" s="96">
        <f t="shared" si="24"/>
        <v>0</v>
      </c>
      <c r="EH29" s="96">
        <f t="shared" si="25"/>
        <v>0</v>
      </c>
      <c r="EI29" s="96">
        <f t="shared" si="26"/>
        <v>0</v>
      </c>
      <c r="EJ29" s="96">
        <f t="shared" si="27"/>
        <v>0</v>
      </c>
      <c r="EK29" s="96">
        <f t="shared" si="28"/>
        <v>1080936000</v>
      </c>
      <c r="EL29" s="96">
        <f t="shared" si="29"/>
        <v>1070381689</v>
      </c>
      <c r="EM29" s="96">
        <f t="shared" si="30"/>
        <v>1492603000</v>
      </c>
      <c r="EN29" s="96">
        <f>+DH29+CR29+CB29+BL29+AV29+AF29+P29+DX29</f>
        <v>1132289100</v>
      </c>
    </row>
    <row r="30" spans="1:146" s="181" customFormat="1" ht="15" customHeight="1" x14ac:dyDescent="0.25">
      <c r="A30" s="597" t="s">
        <v>134</v>
      </c>
      <c r="B30" s="730" t="s">
        <v>237</v>
      </c>
      <c r="C30" s="370"/>
      <c r="D30" s="144"/>
      <c r="E30" s="370"/>
      <c r="F30" s="370"/>
      <c r="G30" s="370"/>
      <c r="H30" s="370"/>
      <c r="I30" s="370"/>
      <c r="J30" s="370"/>
      <c r="K30" s="370"/>
      <c r="L30" s="370"/>
      <c r="M30" s="168"/>
      <c r="N30" s="168"/>
      <c r="O30" s="168"/>
      <c r="P30" s="168">
        <f t="shared" ref="P30:P34" si="70">F30+J30+L30</f>
        <v>0</v>
      </c>
      <c r="Q30" s="597" t="s">
        <v>134</v>
      </c>
      <c r="R30" s="730" t="s">
        <v>237</v>
      </c>
      <c r="S30" s="144"/>
      <c r="T30" s="144"/>
      <c r="U30" s="144"/>
      <c r="V30" s="144"/>
      <c r="W30" s="370"/>
      <c r="X30" s="144"/>
      <c r="Y30" s="144"/>
      <c r="Z30" s="144"/>
      <c r="AA30" s="144"/>
      <c r="AB30" s="144"/>
      <c r="AC30" s="139"/>
      <c r="AD30" s="139"/>
      <c r="AE30" s="139"/>
      <c r="AF30" s="139">
        <f t="shared" si="36"/>
        <v>0</v>
      </c>
      <c r="AG30" s="597" t="s">
        <v>134</v>
      </c>
      <c r="AH30" s="606" t="s">
        <v>237</v>
      </c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39"/>
      <c r="AT30" s="139"/>
      <c r="AU30" s="139"/>
      <c r="AV30" s="139">
        <f t="shared" si="37"/>
        <v>0</v>
      </c>
      <c r="AW30" s="597" t="s">
        <v>134</v>
      </c>
      <c r="AX30" s="606" t="s">
        <v>237</v>
      </c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39"/>
      <c r="BJ30" s="139"/>
      <c r="BK30" s="139"/>
      <c r="BL30" s="139">
        <f t="shared" si="38"/>
        <v>0</v>
      </c>
      <c r="BM30" s="597" t="s">
        <v>134</v>
      </c>
      <c r="BN30" s="606" t="s">
        <v>237</v>
      </c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39"/>
      <c r="BZ30" s="139"/>
      <c r="CA30" s="139"/>
      <c r="CB30" s="139">
        <f t="shared" si="39"/>
        <v>0</v>
      </c>
      <c r="CC30" s="597" t="s">
        <v>134</v>
      </c>
      <c r="CD30" s="606" t="s">
        <v>237</v>
      </c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39"/>
      <c r="CP30" s="139"/>
      <c r="CQ30" s="139"/>
      <c r="CR30" s="139">
        <f t="shared" si="40"/>
        <v>0</v>
      </c>
      <c r="CS30" s="597" t="s">
        <v>134</v>
      </c>
      <c r="CT30" s="606" t="s">
        <v>237</v>
      </c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39"/>
      <c r="DF30" s="139"/>
      <c r="DG30" s="139"/>
      <c r="DH30" s="139">
        <f t="shared" si="41"/>
        <v>0</v>
      </c>
      <c r="DI30" s="597" t="s">
        <v>134</v>
      </c>
      <c r="DJ30" s="606" t="s">
        <v>237</v>
      </c>
      <c r="DK30" s="370"/>
      <c r="DL30" s="144"/>
      <c r="DM30" s="370"/>
      <c r="DN30" s="370"/>
      <c r="DO30" s="370"/>
      <c r="DP30" s="370"/>
      <c r="DQ30" s="370"/>
      <c r="DR30" s="370"/>
      <c r="DS30" s="370"/>
      <c r="DT30" s="370"/>
      <c r="DU30" s="168"/>
      <c r="DV30" s="139"/>
      <c r="DW30" s="139"/>
      <c r="DX30" s="139">
        <f t="shared" si="42"/>
        <v>0</v>
      </c>
      <c r="DY30" s="597" t="s">
        <v>134</v>
      </c>
      <c r="DZ30" s="606" t="s">
        <v>237</v>
      </c>
      <c r="EA30" s="96">
        <f t="shared" si="43"/>
        <v>0</v>
      </c>
      <c r="EB30" s="96">
        <f t="shared" si="19"/>
        <v>0</v>
      </c>
      <c r="EC30" s="96">
        <f t="shared" si="20"/>
        <v>0</v>
      </c>
      <c r="ED30" s="96">
        <f t="shared" si="21"/>
        <v>0</v>
      </c>
      <c r="EE30" s="96">
        <f t="shared" si="22"/>
        <v>0</v>
      </c>
      <c r="EF30" s="96">
        <f t="shared" si="23"/>
        <v>0</v>
      </c>
      <c r="EG30" s="96">
        <f t="shared" si="24"/>
        <v>0</v>
      </c>
      <c r="EH30" s="96">
        <f t="shared" si="25"/>
        <v>0</v>
      </c>
      <c r="EI30" s="96">
        <f t="shared" si="26"/>
        <v>0</v>
      </c>
      <c r="EJ30" s="96">
        <f t="shared" si="27"/>
        <v>0</v>
      </c>
      <c r="EK30" s="96">
        <f t="shared" si="28"/>
        <v>0</v>
      </c>
      <c r="EL30" s="96">
        <f t="shared" si="29"/>
        <v>0</v>
      </c>
      <c r="EM30" s="96">
        <f t="shared" si="30"/>
        <v>0</v>
      </c>
      <c r="EN30" s="96">
        <f t="shared" si="31"/>
        <v>0</v>
      </c>
    </row>
    <row r="31" spans="1:146" ht="15" customHeight="1" x14ac:dyDescent="0.25">
      <c r="A31" s="597" t="s">
        <v>25</v>
      </c>
      <c r="B31" s="730" t="s">
        <v>98</v>
      </c>
      <c r="C31" s="370">
        <v>0</v>
      </c>
      <c r="D31" s="144">
        <v>0</v>
      </c>
      <c r="E31" s="370">
        <v>0</v>
      </c>
      <c r="F31" s="370">
        <v>0</v>
      </c>
      <c r="G31" s="370">
        <v>0</v>
      </c>
      <c r="H31" s="370">
        <v>0</v>
      </c>
      <c r="I31" s="370">
        <v>0</v>
      </c>
      <c r="J31" s="370">
        <v>0</v>
      </c>
      <c r="K31" s="370">
        <v>0</v>
      </c>
      <c r="L31" s="370">
        <v>0</v>
      </c>
      <c r="M31" s="168">
        <f t="shared" si="32"/>
        <v>0</v>
      </c>
      <c r="N31" s="168">
        <f t="shared" ref="N31:N34" si="71">D31+H31+L31</f>
        <v>0</v>
      </c>
      <c r="O31" s="168">
        <f t="shared" ref="O31:O34" si="72">E31+I31+M31</f>
        <v>0</v>
      </c>
      <c r="P31" s="168">
        <f t="shared" si="70"/>
        <v>0</v>
      </c>
      <c r="Q31" s="597" t="s">
        <v>25</v>
      </c>
      <c r="R31" s="730" t="s">
        <v>98</v>
      </c>
      <c r="S31" s="52">
        <v>0</v>
      </c>
      <c r="T31" s="144">
        <v>0</v>
      </c>
      <c r="U31" s="144">
        <v>0</v>
      </c>
      <c r="V31" s="52">
        <v>0</v>
      </c>
      <c r="W31" s="370">
        <v>0</v>
      </c>
      <c r="X31" s="144">
        <v>0</v>
      </c>
      <c r="Y31" s="144">
        <v>0</v>
      </c>
      <c r="Z31" s="144">
        <v>0</v>
      </c>
      <c r="AA31" s="52">
        <v>0</v>
      </c>
      <c r="AB31" s="144">
        <v>0</v>
      </c>
      <c r="AC31" s="17">
        <f t="shared" si="33"/>
        <v>0</v>
      </c>
      <c r="AD31" s="139">
        <f t="shared" si="34"/>
        <v>0</v>
      </c>
      <c r="AE31" s="139">
        <f t="shared" si="35"/>
        <v>0</v>
      </c>
      <c r="AF31" s="139">
        <f t="shared" si="36"/>
        <v>0</v>
      </c>
      <c r="AG31" s="597" t="s">
        <v>25</v>
      </c>
      <c r="AH31" s="606" t="s">
        <v>98</v>
      </c>
      <c r="AI31" s="52">
        <v>0</v>
      </c>
      <c r="AJ31" s="144">
        <v>0</v>
      </c>
      <c r="AK31" s="144">
        <v>0</v>
      </c>
      <c r="AL31" s="144"/>
      <c r="AM31" s="52">
        <v>0</v>
      </c>
      <c r="AN31" s="144">
        <v>0</v>
      </c>
      <c r="AO31" s="144">
        <v>0</v>
      </c>
      <c r="AP31" s="144">
        <v>0</v>
      </c>
      <c r="AQ31" s="52">
        <v>0</v>
      </c>
      <c r="AR31" s="144">
        <v>0</v>
      </c>
      <c r="AS31" s="17">
        <f t="shared" si="2"/>
        <v>0</v>
      </c>
      <c r="AT31" s="139">
        <f t="shared" si="3"/>
        <v>0</v>
      </c>
      <c r="AU31" s="139">
        <f t="shared" si="4"/>
        <v>0</v>
      </c>
      <c r="AV31" s="139">
        <f t="shared" si="37"/>
        <v>0</v>
      </c>
      <c r="AW31" s="597" t="s">
        <v>25</v>
      </c>
      <c r="AX31" s="606" t="s">
        <v>98</v>
      </c>
      <c r="AY31" s="52">
        <v>0</v>
      </c>
      <c r="AZ31" s="144">
        <v>0</v>
      </c>
      <c r="BA31" s="144">
        <v>0</v>
      </c>
      <c r="BB31" s="144"/>
      <c r="BC31" s="52">
        <v>0</v>
      </c>
      <c r="BD31" s="144">
        <v>0</v>
      </c>
      <c r="BE31" s="144">
        <v>0</v>
      </c>
      <c r="BF31" s="144">
        <v>0</v>
      </c>
      <c r="BG31" s="52">
        <v>0</v>
      </c>
      <c r="BH31" s="144">
        <v>0</v>
      </c>
      <c r="BI31" s="17">
        <f t="shared" si="5"/>
        <v>0</v>
      </c>
      <c r="BJ31" s="139">
        <f t="shared" si="6"/>
        <v>0</v>
      </c>
      <c r="BK31" s="139">
        <f t="shared" si="7"/>
        <v>0</v>
      </c>
      <c r="BL31" s="139">
        <f t="shared" si="38"/>
        <v>0</v>
      </c>
      <c r="BM31" s="597" t="s">
        <v>25</v>
      </c>
      <c r="BN31" s="606" t="s">
        <v>98</v>
      </c>
      <c r="BO31" s="52">
        <v>0</v>
      </c>
      <c r="BP31" s="144">
        <v>0</v>
      </c>
      <c r="BQ31" s="144">
        <v>0</v>
      </c>
      <c r="BR31" s="144"/>
      <c r="BS31" s="52">
        <v>0</v>
      </c>
      <c r="BT31" s="144">
        <v>0</v>
      </c>
      <c r="BU31" s="144">
        <v>0</v>
      </c>
      <c r="BV31" s="144">
        <v>0</v>
      </c>
      <c r="BW31" s="52">
        <v>0</v>
      </c>
      <c r="BX31" s="144">
        <v>0</v>
      </c>
      <c r="BY31" s="17">
        <f t="shared" si="8"/>
        <v>0</v>
      </c>
      <c r="BZ31" s="139">
        <f t="shared" si="9"/>
        <v>0</v>
      </c>
      <c r="CA31" s="139">
        <f t="shared" si="48"/>
        <v>0</v>
      </c>
      <c r="CB31" s="139">
        <f t="shared" si="39"/>
        <v>0</v>
      </c>
      <c r="CC31" s="597" t="s">
        <v>25</v>
      </c>
      <c r="CD31" s="606" t="s">
        <v>98</v>
      </c>
      <c r="CE31" s="52">
        <v>0</v>
      </c>
      <c r="CF31" s="144">
        <v>0</v>
      </c>
      <c r="CG31" s="144">
        <v>0</v>
      </c>
      <c r="CH31" s="144"/>
      <c r="CI31" s="52">
        <v>0</v>
      </c>
      <c r="CJ31" s="144">
        <v>0</v>
      </c>
      <c r="CK31" s="144">
        <v>0</v>
      </c>
      <c r="CL31" s="144">
        <v>0</v>
      </c>
      <c r="CM31" s="52">
        <v>0</v>
      </c>
      <c r="CN31" s="144">
        <v>0</v>
      </c>
      <c r="CO31" s="17">
        <f t="shared" si="10"/>
        <v>0</v>
      </c>
      <c r="CP31" s="139">
        <f t="shared" si="11"/>
        <v>0</v>
      </c>
      <c r="CQ31" s="139">
        <f t="shared" si="12"/>
        <v>0</v>
      </c>
      <c r="CR31" s="139">
        <f t="shared" si="40"/>
        <v>0</v>
      </c>
      <c r="CS31" s="597" t="s">
        <v>25</v>
      </c>
      <c r="CT31" s="606" t="s">
        <v>98</v>
      </c>
      <c r="CU31" s="144">
        <v>0</v>
      </c>
      <c r="CV31" s="144">
        <v>0</v>
      </c>
      <c r="CW31" s="144">
        <v>0</v>
      </c>
      <c r="CX31" s="144"/>
      <c r="CY31" s="144">
        <v>0</v>
      </c>
      <c r="CZ31" s="144">
        <v>0</v>
      </c>
      <c r="DA31" s="144">
        <v>0</v>
      </c>
      <c r="DB31" s="144">
        <v>0</v>
      </c>
      <c r="DC31" s="144">
        <v>0</v>
      </c>
      <c r="DD31" s="144">
        <v>0</v>
      </c>
      <c r="DE31" s="139">
        <f t="shared" si="13"/>
        <v>0</v>
      </c>
      <c r="DF31" s="139">
        <f t="shared" si="14"/>
        <v>0</v>
      </c>
      <c r="DG31" s="139">
        <f t="shared" si="15"/>
        <v>0</v>
      </c>
      <c r="DH31" s="139">
        <f t="shared" si="41"/>
        <v>0</v>
      </c>
      <c r="DI31" s="597" t="s">
        <v>25</v>
      </c>
      <c r="DJ31" s="606" t="s">
        <v>98</v>
      </c>
      <c r="DK31" s="370">
        <v>0</v>
      </c>
      <c r="DL31" s="144">
        <v>0</v>
      </c>
      <c r="DM31" s="370">
        <v>0</v>
      </c>
      <c r="DN31" s="370"/>
      <c r="DO31" s="370">
        <v>0</v>
      </c>
      <c r="DP31" s="370">
        <v>0</v>
      </c>
      <c r="DQ31" s="370">
        <v>0</v>
      </c>
      <c r="DR31" s="370">
        <v>0</v>
      </c>
      <c r="DS31" s="370">
        <v>0</v>
      </c>
      <c r="DT31" s="370">
        <v>0</v>
      </c>
      <c r="DU31" s="168">
        <f t="shared" si="16"/>
        <v>0</v>
      </c>
      <c r="DV31" s="139">
        <f t="shared" si="17"/>
        <v>0</v>
      </c>
      <c r="DW31" s="139">
        <f t="shared" si="18"/>
        <v>0</v>
      </c>
      <c r="DX31" s="139">
        <f t="shared" si="42"/>
        <v>0</v>
      </c>
      <c r="DY31" s="597" t="s">
        <v>25</v>
      </c>
      <c r="DZ31" s="606" t="s">
        <v>98</v>
      </c>
      <c r="EA31" s="96">
        <f t="shared" si="43"/>
        <v>0</v>
      </c>
      <c r="EB31" s="96">
        <f t="shared" si="19"/>
        <v>0</v>
      </c>
      <c r="EC31" s="96">
        <f t="shared" si="20"/>
        <v>0</v>
      </c>
      <c r="ED31" s="96">
        <f t="shared" si="21"/>
        <v>0</v>
      </c>
      <c r="EE31" s="96">
        <f t="shared" si="22"/>
        <v>0</v>
      </c>
      <c r="EF31" s="96">
        <f t="shared" si="23"/>
        <v>0</v>
      </c>
      <c r="EG31" s="96">
        <f t="shared" si="24"/>
        <v>0</v>
      </c>
      <c r="EH31" s="96">
        <f t="shared" si="25"/>
        <v>0</v>
      </c>
      <c r="EI31" s="96">
        <f t="shared" si="26"/>
        <v>0</v>
      </c>
      <c r="EJ31" s="96">
        <f t="shared" si="27"/>
        <v>0</v>
      </c>
      <c r="EK31" s="96">
        <f t="shared" si="28"/>
        <v>0</v>
      </c>
      <c r="EL31" s="96">
        <f t="shared" si="29"/>
        <v>0</v>
      </c>
      <c r="EM31" s="96">
        <f t="shared" si="30"/>
        <v>0</v>
      </c>
      <c r="EN31" s="96">
        <f t="shared" si="31"/>
        <v>0</v>
      </c>
    </row>
    <row r="32" spans="1:146" ht="16.5" customHeight="1" x14ac:dyDescent="0.25">
      <c r="A32" s="597" t="s">
        <v>26</v>
      </c>
      <c r="B32" s="730" t="s">
        <v>99</v>
      </c>
      <c r="C32" s="370">
        <v>0</v>
      </c>
      <c r="D32" s="144">
        <v>0</v>
      </c>
      <c r="E32" s="370">
        <v>0</v>
      </c>
      <c r="F32" s="370">
        <v>0</v>
      </c>
      <c r="G32" s="370">
        <v>0</v>
      </c>
      <c r="H32" s="370">
        <v>0</v>
      </c>
      <c r="I32" s="370">
        <v>0</v>
      </c>
      <c r="J32" s="370">
        <v>0</v>
      </c>
      <c r="K32" s="370">
        <v>0</v>
      </c>
      <c r="L32" s="370">
        <v>0</v>
      </c>
      <c r="M32" s="168">
        <f t="shared" si="32"/>
        <v>0</v>
      </c>
      <c r="N32" s="168">
        <f t="shared" si="71"/>
        <v>0</v>
      </c>
      <c r="O32" s="168">
        <f t="shared" si="72"/>
        <v>0</v>
      </c>
      <c r="P32" s="168">
        <f t="shared" si="70"/>
        <v>0</v>
      </c>
      <c r="Q32" s="597" t="s">
        <v>26</v>
      </c>
      <c r="R32" s="730" t="s">
        <v>99</v>
      </c>
      <c r="S32" s="52">
        <v>0</v>
      </c>
      <c r="T32" s="144">
        <v>0</v>
      </c>
      <c r="U32" s="144">
        <v>0</v>
      </c>
      <c r="V32" s="52">
        <v>0</v>
      </c>
      <c r="W32" s="370">
        <v>0</v>
      </c>
      <c r="X32" s="144">
        <v>0</v>
      </c>
      <c r="Y32" s="144">
        <v>0</v>
      </c>
      <c r="Z32" s="144">
        <v>0</v>
      </c>
      <c r="AA32" s="52">
        <v>0</v>
      </c>
      <c r="AB32" s="144">
        <v>0</v>
      </c>
      <c r="AC32" s="17">
        <f t="shared" si="33"/>
        <v>0</v>
      </c>
      <c r="AD32" s="139">
        <f t="shared" si="34"/>
        <v>0</v>
      </c>
      <c r="AE32" s="139">
        <f t="shared" si="35"/>
        <v>0</v>
      </c>
      <c r="AF32" s="139">
        <f t="shared" si="36"/>
        <v>0</v>
      </c>
      <c r="AG32" s="597" t="s">
        <v>26</v>
      </c>
      <c r="AH32" s="606" t="s">
        <v>99</v>
      </c>
      <c r="AI32" s="52">
        <v>0</v>
      </c>
      <c r="AJ32" s="144">
        <v>0</v>
      </c>
      <c r="AK32" s="144">
        <v>0</v>
      </c>
      <c r="AL32" s="144"/>
      <c r="AM32" s="52">
        <v>0</v>
      </c>
      <c r="AN32" s="144">
        <v>0</v>
      </c>
      <c r="AO32" s="144">
        <v>0</v>
      </c>
      <c r="AP32" s="144">
        <v>0</v>
      </c>
      <c r="AQ32" s="52">
        <v>0</v>
      </c>
      <c r="AR32" s="144">
        <v>0</v>
      </c>
      <c r="AS32" s="17">
        <f t="shared" si="2"/>
        <v>0</v>
      </c>
      <c r="AT32" s="139">
        <f t="shared" si="3"/>
        <v>0</v>
      </c>
      <c r="AU32" s="139">
        <f t="shared" si="4"/>
        <v>0</v>
      </c>
      <c r="AV32" s="139">
        <f t="shared" si="37"/>
        <v>0</v>
      </c>
      <c r="AW32" s="597" t="s">
        <v>26</v>
      </c>
      <c r="AX32" s="606" t="s">
        <v>99</v>
      </c>
      <c r="AY32" s="52">
        <v>0</v>
      </c>
      <c r="AZ32" s="144">
        <v>0</v>
      </c>
      <c r="BA32" s="144">
        <v>0</v>
      </c>
      <c r="BB32" s="144"/>
      <c r="BC32" s="52">
        <v>0</v>
      </c>
      <c r="BD32" s="144">
        <v>0</v>
      </c>
      <c r="BE32" s="144">
        <v>0</v>
      </c>
      <c r="BF32" s="144">
        <v>0</v>
      </c>
      <c r="BG32" s="52">
        <v>0</v>
      </c>
      <c r="BH32" s="144">
        <v>0</v>
      </c>
      <c r="BI32" s="17">
        <f t="shared" si="5"/>
        <v>0</v>
      </c>
      <c r="BJ32" s="139">
        <f t="shared" si="6"/>
        <v>0</v>
      </c>
      <c r="BK32" s="139">
        <f t="shared" si="7"/>
        <v>0</v>
      </c>
      <c r="BL32" s="139">
        <f t="shared" si="38"/>
        <v>0</v>
      </c>
      <c r="BM32" s="597" t="s">
        <v>26</v>
      </c>
      <c r="BN32" s="606" t="s">
        <v>99</v>
      </c>
      <c r="BO32" s="52">
        <v>0</v>
      </c>
      <c r="BP32" s="144">
        <v>0</v>
      </c>
      <c r="BQ32" s="144">
        <v>0</v>
      </c>
      <c r="BR32" s="144"/>
      <c r="BS32" s="52">
        <v>0</v>
      </c>
      <c r="BT32" s="144">
        <v>0</v>
      </c>
      <c r="BU32" s="144">
        <v>0</v>
      </c>
      <c r="BV32" s="144">
        <v>0</v>
      </c>
      <c r="BW32" s="52">
        <v>0</v>
      </c>
      <c r="BX32" s="144">
        <v>0</v>
      </c>
      <c r="BY32" s="17">
        <f t="shared" si="8"/>
        <v>0</v>
      </c>
      <c r="BZ32" s="139">
        <f t="shared" si="9"/>
        <v>0</v>
      </c>
      <c r="CA32" s="139">
        <f t="shared" si="48"/>
        <v>0</v>
      </c>
      <c r="CB32" s="139">
        <f t="shared" si="39"/>
        <v>0</v>
      </c>
      <c r="CC32" s="597" t="s">
        <v>26</v>
      </c>
      <c r="CD32" s="606" t="s">
        <v>99</v>
      </c>
      <c r="CE32" s="52">
        <v>0</v>
      </c>
      <c r="CF32" s="144">
        <v>0</v>
      </c>
      <c r="CG32" s="144">
        <v>0</v>
      </c>
      <c r="CH32" s="144"/>
      <c r="CI32" s="52">
        <v>0</v>
      </c>
      <c r="CJ32" s="144">
        <v>0</v>
      </c>
      <c r="CK32" s="144">
        <v>0</v>
      </c>
      <c r="CL32" s="144">
        <v>0</v>
      </c>
      <c r="CM32" s="52">
        <v>0</v>
      </c>
      <c r="CN32" s="144">
        <v>0</v>
      </c>
      <c r="CO32" s="17">
        <f t="shared" si="10"/>
        <v>0</v>
      </c>
      <c r="CP32" s="139">
        <f t="shared" si="11"/>
        <v>0</v>
      </c>
      <c r="CQ32" s="139">
        <f t="shared" si="12"/>
        <v>0</v>
      </c>
      <c r="CR32" s="139">
        <f t="shared" si="40"/>
        <v>0</v>
      </c>
      <c r="CS32" s="597" t="s">
        <v>26</v>
      </c>
      <c r="CT32" s="606" t="s">
        <v>99</v>
      </c>
      <c r="CU32" s="144">
        <v>0</v>
      </c>
      <c r="CV32" s="144">
        <v>0</v>
      </c>
      <c r="CW32" s="144">
        <v>0</v>
      </c>
      <c r="CX32" s="144"/>
      <c r="CY32" s="144">
        <v>0</v>
      </c>
      <c r="CZ32" s="144">
        <v>0</v>
      </c>
      <c r="DA32" s="144">
        <v>0</v>
      </c>
      <c r="DB32" s="144">
        <v>0</v>
      </c>
      <c r="DC32" s="144">
        <v>0</v>
      </c>
      <c r="DD32" s="144">
        <v>0</v>
      </c>
      <c r="DE32" s="139">
        <f t="shared" si="13"/>
        <v>0</v>
      </c>
      <c r="DF32" s="139">
        <f t="shared" si="14"/>
        <v>0</v>
      </c>
      <c r="DG32" s="139">
        <f t="shared" si="15"/>
        <v>0</v>
      </c>
      <c r="DH32" s="139">
        <f t="shared" si="41"/>
        <v>0</v>
      </c>
      <c r="DI32" s="597" t="s">
        <v>26</v>
      </c>
      <c r="DJ32" s="606" t="s">
        <v>99</v>
      </c>
      <c r="DK32" s="370">
        <v>0</v>
      </c>
      <c r="DL32" s="144">
        <v>0</v>
      </c>
      <c r="DM32" s="370">
        <v>0</v>
      </c>
      <c r="DN32" s="370"/>
      <c r="DO32" s="370">
        <v>0</v>
      </c>
      <c r="DP32" s="370">
        <v>0</v>
      </c>
      <c r="DQ32" s="370">
        <v>0</v>
      </c>
      <c r="DR32" s="370">
        <v>0</v>
      </c>
      <c r="DS32" s="370">
        <v>0</v>
      </c>
      <c r="DT32" s="370">
        <v>0</v>
      </c>
      <c r="DU32" s="168">
        <f t="shared" si="16"/>
        <v>0</v>
      </c>
      <c r="DV32" s="139">
        <f t="shared" si="17"/>
        <v>0</v>
      </c>
      <c r="DW32" s="139">
        <f t="shared" si="18"/>
        <v>0</v>
      </c>
      <c r="DX32" s="139">
        <f t="shared" si="42"/>
        <v>0</v>
      </c>
      <c r="DY32" s="597" t="s">
        <v>26</v>
      </c>
      <c r="DZ32" s="606" t="s">
        <v>99</v>
      </c>
      <c r="EA32" s="96">
        <f t="shared" si="43"/>
        <v>0</v>
      </c>
      <c r="EB32" s="96">
        <f t="shared" si="19"/>
        <v>0</v>
      </c>
      <c r="EC32" s="96">
        <f t="shared" si="20"/>
        <v>0</v>
      </c>
      <c r="ED32" s="96">
        <f t="shared" si="21"/>
        <v>0</v>
      </c>
      <c r="EE32" s="96">
        <f t="shared" si="22"/>
        <v>0</v>
      </c>
      <c r="EF32" s="96">
        <f t="shared" si="23"/>
        <v>0</v>
      </c>
      <c r="EG32" s="96">
        <f t="shared" si="24"/>
        <v>0</v>
      </c>
      <c r="EH32" s="96">
        <f t="shared" si="25"/>
        <v>0</v>
      </c>
      <c r="EI32" s="96">
        <f t="shared" si="26"/>
        <v>0</v>
      </c>
      <c r="EJ32" s="96">
        <f t="shared" si="27"/>
        <v>0</v>
      </c>
      <c r="EK32" s="96">
        <f t="shared" si="28"/>
        <v>0</v>
      </c>
      <c r="EL32" s="96">
        <f t="shared" si="29"/>
        <v>0</v>
      </c>
      <c r="EM32" s="96">
        <f t="shared" si="30"/>
        <v>0</v>
      </c>
      <c r="EN32" s="96">
        <f t="shared" si="31"/>
        <v>0</v>
      </c>
    </row>
    <row r="33" spans="1:144" s="180" customFormat="1" ht="15" customHeight="1" x14ac:dyDescent="0.25">
      <c r="A33" s="601" t="s">
        <v>27</v>
      </c>
      <c r="B33" s="729" t="s">
        <v>100</v>
      </c>
      <c r="C33" s="168">
        <f t="shared" ref="C33:L33" si="73">C24+C26+C27+C28+C31+C32</f>
        <v>384636000</v>
      </c>
      <c r="D33" s="139">
        <f t="shared" si="73"/>
        <v>409239778</v>
      </c>
      <c r="E33" s="168">
        <f>E24+E26+E27+E28+E31+E32</f>
        <v>443069000</v>
      </c>
      <c r="F33" s="168">
        <f>F24+F26+F27+F28+F31+F32</f>
        <v>444052086</v>
      </c>
      <c r="G33" s="168">
        <f t="shared" si="73"/>
        <v>0</v>
      </c>
      <c r="H33" s="168">
        <f t="shared" ref="H33" si="74">H24+H26+H27+H28+H31+H32</f>
        <v>0</v>
      </c>
      <c r="I33" s="168">
        <f t="shared" si="73"/>
        <v>0</v>
      </c>
      <c r="J33" s="168">
        <f t="shared" si="73"/>
        <v>0</v>
      </c>
      <c r="K33" s="168">
        <v>0</v>
      </c>
      <c r="L33" s="168">
        <f t="shared" si="73"/>
        <v>0</v>
      </c>
      <c r="M33" s="168">
        <f t="shared" si="32"/>
        <v>384636000</v>
      </c>
      <c r="N33" s="168">
        <f t="shared" si="71"/>
        <v>409239778</v>
      </c>
      <c r="O33" s="168">
        <f t="shared" si="72"/>
        <v>827705000</v>
      </c>
      <c r="P33" s="168">
        <f t="shared" si="70"/>
        <v>444052086</v>
      </c>
      <c r="Q33" s="601" t="s">
        <v>27</v>
      </c>
      <c r="R33" s="729" t="s">
        <v>100</v>
      </c>
      <c r="S33" s="139">
        <f t="shared" ref="S33:AB33" si="75">S24+S26+S27+S28+S31+S32</f>
        <v>60787000</v>
      </c>
      <c r="T33" s="139">
        <f t="shared" si="75"/>
        <v>62922869</v>
      </c>
      <c r="U33" s="139">
        <f t="shared" si="75"/>
        <v>51532000</v>
      </c>
      <c r="V33" s="139">
        <f t="shared" si="75"/>
        <v>53207876</v>
      </c>
      <c r="W33" s="168">
        <f t="shared" si="75"/>
        <v>0</v>
      </c>
      <c r="X33" s="139">
        <f t="shared" ref="X33:Y33" si="76">X24+X26+X27+X28+X31+X32</f>
        <v>0</v>
      </c>
      <c r="Y33" s="139">
        <f t="shared" si="76"/>
        <v>0</v>
      </c>
      <c r="Z33" s="139">
        <f t="shared" si="75"/>
        <v>0</v>
      </c>
      <c r="AA33" s="139">
        <f t="shared" si="75"/>
        <v>0</v>
      </c>
      <c r="AB33" s="139">
        <f t="shared" si="75"/>
        <v>0</v>
      </c>
      <c r="AC33" s="139">
        <f t="shared" si="33"/>
        <v>60787000</v>
      </c>
      <c r="AD33" s="139">
        <f t="shared" si="34"/>
        <v>62922869</v>
      </c>
      <c r="AE33" s="139">
        <f t="shared" si="35"/>
        <v>51532000</v>
      </c>
      <c r="AF33" s="139">
        <f t="shared" si="36"/>
        <v>53207876</v>
      </c>
      <c r="AG33" s="601" t="s">
        <v>27</v>
      </c>
      <c r="AH33" s="602" t="s">
        <v>100</v>
      </c>
      <c r="AI33" s="139">
        <f t="shared" ref="AI33:AR33" si="77">AI24+AI26+AI27+AI28+AI31+AI32</f>
        <v>100585000</v>
      </c>
      <c r="AJ33" s="139">
        <f t="shared" ref="AJ33" si="78">AJ24+AJ26+AJ27+AJ28+AJ31+AJ32</f>
        <v>102216677</v>
      </c>
      <c r="AK33" s="139">
        <f t="shared" si="77"/>
        <v>119275667</v>
      </c>
      <c r="AL33" s="139">
        <f t="shared" ref="AL33" si="79">AL24+AL26+AL27+AL28+AL31+AL32</f>
        <v>118919031</v>
      </c>
      <c r="AM33" s="139">
        <f t="shared" si="77"/>
        <v>0</v>
      </c>
      <c r="AN33" s="139">
        <f t="shared" ref="AN33:AO33" si="80">AN24+AN26+AN27+AN28+AN31+AN32</f>
        <v>0</v>
      </c>
      <c r="AO33" s="139">
        <f t="shared" si="80"/>
        <v>0</v>
      </c>
      <c r="AP33" s="139">
        <f t="shared" si="77"/>
        <v>0</v>
      </c>
      <c r="AQ33" s="139">
        <f t="shared" si="77"/>
        <v>0</v>
      </c>
      <c r="AR33" s="139">
        <f t="shared" si="77"/>
        <v>0</v>
      </c>
      <c r="AS33" s="139">
        <f t="shared" si="2"/>
        <v>100585000</v>
      </c>
      <c r="AT33" s="139">
        <f t="shared" si="3"/>
        <v>102216677</v>
      </c>
      <c r="AU33" s="139">
        <f t="shared" si="4"/>
        <v>119275667</v>
      </c>
      <c r="AV33" s="139">
        <f t="shared" si="37"/>
        <v>118919031</v>
      </c>
      <c r="AW33" s="601" t="s">
        <v>27</v>
      </c>
      <c r="AX33" s="602" t="s">
        <v>100</v>
      </c>
      <c r="AY33" s="139">
        <f t="shared" ref="AY33:BH33" si="81">AY24+AY26+AY27+AY28+AY31+AY32</f>
        <v>243532000</v>
      </c>
      <c r="AZ33" s="139">
        <f t="shared" si="81"/>
        <v>247030561</v>
      </c>
      <c r="BA33" s="139">
        <f t="shared" ref="BA33:BB33" si="82">BA24+BA26+BA27+BA28+BA31+BA32</f>
        <v>241225000</v>
      </c>
      <c r="BB33" s="139">
        <f t="shared" si="82"/>
        <v>247060328</v>
      </c>
      <c r="BC33" s="139">
        <f t="shared" si="81"/>
        <v>0</v>
      </c>
      <c r="BD33" s="139">
        <f t="shared" ref="BD33:BE33" si="83">BD24+BD26+BD27+BD28+BD31+BD32</f>
        <v>0</v>
      </c>
      <c r="BE33" s="139">
        <f t="shared" si="83"/>
        <v>0</v>
      </c>
      <c r="BF33" s="139">
        <f t="shared" si="81"/>
        <v>0</v>
      </c>
      <c r="BG33" s="139">
        <f t="shared" si="81"/>
        <v>0</v>
      </c>
      <c r="BH33" s="139">
        <f t="shared" si="81"/>
        <v>0</v>
      </c>
      <c r="BI33" s="139">
        <f t="shared" si="5"/>
        <v>243532000</v>
      </c>
      <c r="BJ33" s="139">
        <f t="shared" si="6"/>
        <v>247030561</v>
      </c>
      <c r="BK33" s="139">
        <f t="shared" si="7"/>
        <v>241225000</v>
      </c>
      <c r="BL33" s="139">
        <f t="shared" si="38"/>
        <v>247060328</v>
      </c>
      <c r="BM33" s="601" t="s">
        <v>27</v>
      </c>
      <c r="BN33" s="602" t="s">
        <v>100</v>
      </c>
      <c r="BO33" s="139">
        <f t="shared" ref="BO33:BX33" si="84">BO24+BO26+BO27+BO28+BO31+BO32</f>
        <v>175144000</v>
      </c>
      <c r="BP33" s="139">
        <f t="shared" ref="BP33" si="85">BP24+BP26+BP27+BP28+BP31+BP32</f>
        <v>177206637</v>
      </c>
      <c r="BQ33" s="139">
        <f t="shared" si="84"/>
        <v>159087000</v>
      </c>
      <c r="BR33" s="139">
        <f t="shared" ref="BR33" si="86">BR24+BR26+BR27+BR28+BR31+BR32</f>
        <v>177068057</v>
      </c>
      <c r="BS33" s="139">
        <f t="shared" si="84"/>
        <v>0</v>
      </c>
      <c r="BT33" s="139">
        <f t="shared" ref="BT33:BU33" si="87">BT24+BT26+BT27+BT28+BT31+BT32</f>
        <v>0</v>
      </c>
      <c r="BU33" s="139">
        <f t="shared" si="87"/>
        <v>0</v>
      </c>
      <c r="BV33" s="139">
        <f t="shared" si="84"/>
        <v>0</v>
      </c>
      <c r="BW33" s="139">
        <f t="shared" si="84"/>
        <v>0</v>
      </c>
      <c r="BX33" s="139">
        <f t="shared" si="84"/>
        <v>0</v>
      </c>
      <c r="BY33" s="139">
        <f t="shared" si="8"/>
        <v>175144000</v>
      </c>
      <c r="BZ33" s="139">
        <f t="shared" si="9"/>
        <v>177206637</v>
      </c>
      <c r="CA33" s="139">
        <f t="shared" si="48"/>
        <v>159087000</v>
      </c>
      <c r="CB33" s="139">
        <f t="shared" si="39"/>
        <v>177068057</v>
      </c>
      <c r="CC33" s="601" t="s">
        <v>27</v>
      </c>
      <c r="CD33" s="602" t="s">
        <v>100</v>
      </c>
      <c r="CE33" s="139">
        <f t="shared" ref="CE33:CN33" si="88">CE24+CE26+CE27+CE28+CE31+CE32</f>
        <v>30529000</v>
      </c>
      <c r="CF33" s="139">
        <f t="shared" ref="CF33:CG33" si="89">CF24+CF26+CF27+CF28+CF31+CF32</f>
        <v>31696236</v>
      </c>
      <c r="CG33" s="139">
        <f t="shared" si="89"/>
        <v>39644000</v>
      </c>
      <c r="CH33" s="139">
        <f t="shared" ref="CH33" si="90">CH24+CH26+CH27+CH28+CH31+CH32</f>
        <v>36693943</v>
      </c>
      <c r="CI33" s="139">
        <f t="shared" si="88"/>
        <v>0</v>
      </c>
      <c r="CJ33" s="139">
        <f t="shared" ref="CJ33:CK33" si="91">CJ24+CJ26+CJ27+CJ28+CJ31+CJ32</f>
        <v>0</v>
      </c>
      <c r="CK33" s="139">
        <f t="shared" si="91"/>
        <v>0</v>
      </c>
      <c r="CL33" s="139">
        <f t="shared" si="88"/>
        <v>0</v>
      </c>
      <c r="CM33" s="139">
        <f t="shared" si="88"/>
        <v>0</v>
      </c>
      <c r="CN33" s="139">
        <f t="shared" si="88"/>
        <v>0</v>
      </c>
      <c r="CO33" s="139">
        <f t="shared" si="10"/>
        <v>30529000</v>
      </c>
      <c r="CP33" s="139">
        <f t="shared" si="11"/>
        <v>31696236</v>
      </c>
      <c r="CQ33" s="139">
        <f t="shared" si="12"/>
        <v>39644000</v>
      </c>
      <c r="CR33" s="139">
        <f t="shared" si="40"/>
        <v>36693943</v>
      </c>
      <c r="CS33" s="601" t="s">
        <v>27</v>
      </c>
      <c r="CT33" s="602" t="s">
        <v>100</v>
      </c>
      <c r="CU33" s="139">
        <f t="shared" ref="CU33:DD33" si="92">CU24+CU26+CU27+CU28+CU31+CU32</f>
        <v>23453000</v>
      </c>
      <c r="CV33" s="139">
        <f t="shared" ref="CV33" si="93">CV24+CV26+CV27+CV28+CV31+CV32</f>
        <v>24344378</v>
      </c>
      <c r="CW33" s="139">
        <f>CW24+CW26+CW27+CW28+CW31+CW32</f>
        <v>24344000</v>
      </c>
      <c r="CX33" s="139">
        <f>CX24+CX26+CX27+CX28+CX31+CX32</f>
        <v>24130456</v>
      </c>
      <c r="CY33" s="139">
        <f t="shared" si="92"/>
        <v>0</v>
      </c>
      <c r="CZ33" s="139">
        <f t="shared" ref="CZ33:DA33" si="94">CZ24+CZ26+CZ27+CZ28+CZ31+CZ32</f>
        <v>0</v>
      </c>
      <c r="DA33" s="139">
        <f t="shared" si="94"/>
        <v>0</v>
      </c>
      <c r="DB33" s="139">
        <f t="shared" si="92"/>
        <v>0</v>
      </c>
      <c r="DC33" s="139">
        <f t="shared" si="92"/>
        <v>0</v>
      </c>
      <c r="DD33" s="139">
        <f t="shared" si="92"/>
        <v>0</v>
      </c>
      <c r="DE33" s="139">
        <f t="shared" si="13"/>
        <v>23453000</v>
      </c>
      <c r="DF33" s="139">
        <f t="shared" si="14"/>
        <v>24344378</v>
      </c>
      <c r="DG33" s="139">
        <f t="shared" si="15"/>
        <v>24344000</v>
      </c>
      <c r="DH33" s="139">
        <f t="shared" si="41"/>
        <v>24130456</v>
      </c>
      <c r="DI33" s="601" t="s">
        <v>27</v>
      </c>
      <c r="DJ33" s="602" t="s">
        <v>100</v>
      </c>
      <c r="DK33" s="168">
        <f t="shared" ref="DK33:DT33" si="95">DK24+DK26+DK27+DK28+DK31+DK32</f>
        <v>62270000</v>
      </c>
      <c r="DL33" s="139">
        <f t="shared" si="95"/>
        <v>42986919</v>
      </c>
      <c r="DM33" s="168">
        <f t="shared" ref="DM33:DN33" si="96">DM24+DM26+DM27+DM28+DM31+DM32</f>
        <v>57052699</v>
      </c>
      <c r="DN33" s="168">
        <f t="shared" si="96"/>
        <v>59212692</v>
      </c>
      <c r="DO33" s="168">
        <f t="shared" si="95"/>
        <v>0</v>
      </c>
      <c r="DP33" s="168">
        <f t="shared" ref="DP33:DQ33" si="97">DP24+DP26+DP27+DP28+DP31+DP32</f>
        <v>0</v>
      </c>
      <c r="DQ33" s="168">
        <f t="shared" si="97"/>
        <v>0</v>
      </c>
      <c r="DR33" s="168">
        <f t="shared" si="95"/>
        <v>0</v>
      </c>
      <c r="DS33" s="168">
        <f t="shared" si="95"/>
        <v>0</v>
      </c>
      <c r="DT33" s="168">
        <f t="shared" si="95"/>
        <v>0</v>
      </c>
      <c r="DU33" s="168">
        <f t="shared" si="16"/>
        <v>62270000</v>
      </c>
      <c r="DV33" s="139">
        <f t="shared" si="17"/>
        <v>42986919</v>
      </c>
      <c r="DW33" s="139">
        <f t="shared" si="18"/>
        <v>57052699</v>
      </c>
      <c r="DX33" s="139">
        <f t="shared" si="42"/>
        <v>59212692</v>
      </c>
      <c r="DY33" s="601" t="s">
        <v>27</v>
      </c>
      <c r="DZ33" s="602" t="s">
        <v>100</v>
      </c>
      <c r="EA33" s="320">
        <f t="shared" si="43"/>
        <v>1080936000</v>
      </c>
      <c r="EB33" s="320">
        <f t="shared" si="19"/>
        <v>1097644055</v>
      </c>
      <c r="EC33" s="320">
        <f t="shared" si="20"/>
        <v>1135229366</v>
      </c>
      <c r="ED33" s="320">
        <f t="shared" si="21"/>
        <v>1160344469</v>
      </c>
      <c r="EE33" s="320">
        <f t="shared" si="22"/>
        <v>0</v>
      </c>
      <c r="EF33" s="320">
        <f t="shared" si="23"/>
        <v>0</v>
      </c>
      <c r="EG33" s="320">
        <f t="shared" si="24"/>
        <v>0</v>
      </c>
      <c r="EH33" s="320">
        <f t="shared" si="25"/>
        <v>0</v>
      </c>
      <c r="EI33" s="320">
        <f t="shared" si="26"/>
        <v>0</v>
      </c>
      <c r="EJ33" s="320">
        <f t="shared" si="27"/>
        <v>0</v>
      </c>
      <c r="EK33" s="320">
        <f t="shared" si="28"/>
        <v>1080936000</v>
      </c>
      <c r="EL33" s="320">
        <f t="shared" si="29"/>
        <v>1097644055</v>
      </c>
      <c r="EM33" s="320">
        <f t="shared" si="30"/>
        <v>1519865366</v>
      </c>
      <c r="EN33" s="320">
        <f t="shared" si="31"/>
        <v>1160344469</v>
      </c>
    </row>
    <row r="34" spans="1:144" s="208" customFormat="1" ht="27.75" customHeight="1" x14ac:dyDescent="0.25">
      <c r="A34" s="795" t="s">
        <v>28</v>
      </c>
      <c r="B34" s="761" t="s">
        <v>101</v>
      </c>
      <c r="C34" s="796">
        <f t="shared" ref="C34:L34" si="98">C23+C33</f>
        <v>392970000</v>
      </c>
      <c r="D34" s="797">
        <f t="shared" si="98"/>
        <v>417573778</v>
      </c>
      <c r="E34" s="796">
        <f>E23+E33</f>
        <v>449069000</v>
      </c>
      <c r="F34" s="796">
        <f>F23+F33</f>
        <v>451701105</v>
      </c>
      <c r="G34" s="796">
        <f t="shared" si="98"/>
        <v>0</v>
      </c>
      <c r="H34" s="796">
        <f t="shared" ref="H34" si="99">H23+H33</f>
        <v>0</v>
      </c>
      <c r="I34" s="796">
        <f t="shared" si="98"/>
        <v>0</v>
      </c>
      <c r="J34" s="796">
        <f t="shared" si="98"/>
        <v>0</v>
      </c>
      <c r="K34" s="796">
        <v>0</v>
      </c>
      <c r="L34" s="796">
        <f t="shared" si="98"/>
        <v>0</v>
      </c>
      <c r="M34" s="796">
        <f t="shared" si="32"/>
        <v>392970000</v>
      </c>
      <c r="N34" s="796">
        <f t="shared" si="71"/>
        <v>417573778</v>
      </c>
      <c r="O34" s="796">
        <f t="shared" si="72"/>
        <v>842039000</v>
      </c>
      <c r="P34" s="796">
        <f t="shared" si="70"/>
        <v>451701105</v>
      </c>
      <c r="Q34" s="795" t="s">
        <v>28</v>
      </c>
      <c r="R34" s="761" t="s">
        <v>101</v>
      </c>
      <c r="S34" s="797">
        <f t="shared" ref="S34:AB34" si="100">S23+S33</f>
        <v>65037000</v>
      </c>
      <c r="T34" s="797">
        <f t="shared" si="100"/>
        <v>67172869</v>
      </c>
      <c r="U34" s="797">
        <f t="shared" si="100"/>
        <v>52132000</v>
      </c>
      <c r="V34" s="797">
        <f t="shared" si="100"/>
        <v>57457876</v>
      </c>
      <c r="W34" s="796">
        <f t="shared" si="100"/>
        <v>0</v>
      </c>
      <c r="X34" s="797">
        <f t="shared" ref="X34:Y34" si="101">X23+X33</f>
        <v>0</v>
      </c>
      <c r="Y34" s="797">
        <f t="shared" si="101"/>
        <v>0</v>
      </c>
      <c r="Z34" s="797">
        <f t="shared" si="100"/>
        <v>0</v>
      </c>
      <c r="AA34" s="797">
        <f t="shared" si="100"/>
        <v>0</v>
      </c>
      <c r="AB34" s="797">
        <f t="shared" si="100"/>
        <v>0</v>
      </c>
      <c r="AC34" s="797">
        <f t="shared" si="33"/>
        <v>65037000</v>
      </c>
      <c r="AD34" s="797">
        <f t="shared" si="34"/>
        <v>67172869</v>
      </c>
      <c r="AE34" s="797">
        <f t="shared" si="35"/>
        <v>52132000</v>
      </c>
      <c r="AF34" s="797">
        <f t="shared" si="36"/>
        <v>57457876</v>
      </c>
      <c r="AG34" s="795" t="s">
        <v>28</v>
      </c>
      <c r="AH34" s="761" t="s">
        <v>101</v>
      </c>
      <c r="AI34" s="797">
        <f t="shared" ref="AI34:AR34" si="102">AI23+AI33</f>
        <v>108511000</v>
      </c>
      <c r="AJ34" s="797">
        <f t="shared" ref="AJ34" si="103">AJ23+AJ33</f>
        <v>110142677</v>
      </c>
      <c r="AK34" s="797">
        <f t="shared" si="102"/>
        <v>121502000</v>
      </c>
      <c r="AL34" s="797">
        <f t="shared" ref="AL34" si="104">AL23+AL33</f>
        <v>121842677</v>
      </c>
      <c r="AM34" s="797">
        <f t="shared" si="102"/>
        <v>0</v>
      </c>
      <c r="AN34" s="797">
        <f t="shared" ref="AN34:AO34" si="105">AN23+AN33</f>
        <v>0</v>
      </c>
      <c r="AO34" s="797">
        <f t="shared" si="105"/>
        <v>0</v>
      </c>
      <c r="AP34" s="797">
        <f t="shared" si="102"/>
        <v>0</v>
      </c>
      <c r="AQ34" s="797">
        <f t="shared" si="102"/>
        <v>0</v>
      </c>
      <c r="AR34" s="797">
        <f t="shared" si="102"/>
        <v>0</v>
      </c>
      <c r="AS34" s="797">
        <f t="shared" si="2"/>
        <v>108511000</v>
      </c>
      <c r="AT34" s="797">
        <f t="shared" si="3"/>
        <v>110142677</v>
      </c>
      <c r="AU34" s="797">
        <f t="shared" si="4"/>
        <v>121502000</v>
      </c>
      <c r="AV34" s="85">
        <f t="shared" si="37"/>
        <v>121842677</v>
      </c>
      <c r="AW34" s="795" t="s">
        <v>28</v>
      </c>
      <c r="AX34" s="761" t="s">
        <v>101</v>
      </c>
      <c r="AY34" s="797">
        <f t="shared" ref="AY34:BH34" si="106">AY23+AY33</f>
        <v>256747000</v>
      </c>
      <c r="AZ34" s="797">
        <f t="shared" si="106"/>
        <v>260245561</v>
      </c>
      <c r="BA34" s="797">
        <f t="shared" ref="BA34:BB34" si="107">BA23+BA33</f>
        <v>251225000</v>
      </c>
      <c r="BB34" s="797">
        <f t="shared" si="107"/>
        <v>260245561</v>
      </c>
      <c r="BC34" s="797">
        <f t="shared" si="106"/>
        <v>0</v>
      </c>
      <c r="BD34" s="797">
        <f t="shared" ref="BD34:BE34" si="108">BD23+BD33</f>
        <v>0</v>
      </c>
      <c r="BE34" s="797">
        <f t="shared" si="108"/>
        <v>0</v>
      </c>
      <c r="BF34" s="797">
        <f t="shared" si="106"/>
        <v>0</v>
      </c>
      <c r="BG34" s="797">
        <f t="shared" si="106"/>
        <v>0</v>
      </c>
      <c r="BH34" s="797">
        <f t="shared" si="106"/>
        <v>0</v>
      </c>
      <c r="BI34" s="797">
        <f t="shared" si="5"/>
        <v>256747000</v>
      </c>
      <c r="BJ34" s="797">
        <f t="shared" si="6"/>
        <v>260245561</v>
      </c>
      <c r="BK34" s="797">
        <f t="shared" si="7"/>
        <v>251225000</v>
      </c>
      <c r="BL34" s="797">
        <f t="shared" si="38"/>
        <v>260245561</v>
      </c>
      <c r="BM34" s="795" t="s">
        <v>28</v>
      </c>
      <c r="BN34" s="761" t="s">
        <v>101</v>
      </c>
      <c r="BO34" s="797">
        <f t="shared" ref="BO34:BX34" si="109">BO23+BO33</f>
        <v>180033000</v>
      </c>
      <c r="BP34" s="797">
        <f t="shared" ref="BP34" si="110">BP23+BP33</f>
        <v>182095637</v>
      </c>
      <c r="BQ34" s="797">
        <f t="shared" si="109"/>
        <v>162587000</v>
      </c>
      <c r="BR34" s="797">
        <f t="shared" ref="BR34" si="111">BR23+BR33</f>
        <v>181957057</v>
      </c>
      <c r="BS34" s="797">
        <f t="shared" si="109"/>
        <v>0</v>
      </c>
      <c r="BT34" s="797">
        <f t="shared" ref="BT34:BU34" si="112">BT23+BT33</f>
        <v>0</v>
      </c>
      <c r="BU34" s="797">
        <f t="shared" si="112"/>
        <v>0</v>
      </c>
      <c r="BV34" s="797">
        <f t="shared" si="109"/>
        <v>0</v>
      </c>
      <c r="BW34" s="797">
        <f t="shared" si="109"/>
        <v>0</v>
      </c>
      <c r="BX34" s="797">
        <f t="shared" si="109"/>
        <v>0</v>
      </c>
      <c r="BY34" s="797">
        <f t="shared" si="8"/>
        <v>180033000</v>
      </c>
      <c r="BZ34" s="797">
        <f t="shared" si="9"/>
        <v>182095637</v>
      </c>
      <c r="CA34" s="797">
        <f t="shared" si="48"/>
        <v>162587000</v>
      </c>
      <c r="CB34" s="797">
        <f t="shared" si="39"/>
        <v>181957057</v>
      </c>
      <c r="CC34" s="795" t="s">
        <v>28</v>
      </c>
      <c r="CD34" s="761" t="s">
        <v>101</v>
      </c>
      <c r="CE34" s="797">
        <f t="shared" ref="CE34:CN34" si="113">CE23+CE33</f>
        <v>49129000</v>
      </c>
      <c r="CF34" s="797">
        <f t="shared" ref="CF34:CG34" si="114">CF23+CF33</f>
        <v>50296236</v>
      </c>
      <c r="CG34" s="797">
        <f t="shared" si="114"/>
        <v>48795000</v>
      </c>
      <c r="CH34" s="797">
        <f t="shared" ref="CH34" si="115">CH23+CH33</f>
        <v>50293943</v>
      </c>
      <c r="CI34" s="797">
        <f t="shared" si="113"/>
        <v>0</v>
      </c>
      <c r="CJ34" s="797">
        <f t="shared" ref="CJ34:CK34" si="116">CJ23+CJ33</f>
        <v>0</v>
      </c>
      <c r="CK34" s="797">
        <f t="shared" si="116"/>
        <v>0</v>
      </c>
      <c r="CL34" s="797">
        <f t="shared" si="113"/>
        <v>0</v>
      </c>
      <c r="CM34" s="797">
        <f t="shared" si="113"/>
        <v>0</v>
      </c>
      <c r="CN34" s="797">
        <f t="shared" si="113"/>
        <v>0</v>
      </c>
      <c r="CO34" s="797">
        <f t="shared" si="10"/>
        <v>49129000</v>
      </c>
      <c r="CP34" s="797">
        <f t="shared" si="11"/>
        <v>50296236</v>
      </c>
      <c r="CQ34" s="797">
        <f t="shared" si="12"/>
        <v>48795000</v>
      </c>
      <c r="CR34" s="797">
        <f t="shared" si="40"/>
        <v>50293943</v>
      </c>
      <c r="CS34" s="795" t="s">
        <v>28</v>
      </c>
      <c r="CT34" s="761" t="s">
        <v>101</v>
      </c>
      <c r="CU34" s="797">
        <f t="shared" ref="CU34:DD34" si="117">CU23+CU33</f>
        <v>24753000</v>
      </c>
      <c r="CV34" s="797">
        <f t="shared" ref="CV34:CW34" si="118">CV23+CV33</f>
        <v>25644378</v>
      </c>
      <c r="CW34" s="797">
        <f t="shared" si="118"/>
        <v>24909000</v>
      </c>
      <c r="CX34" s="797">
        <f t="shared" ref="CX34" si="119">CX23+CX33</f>
        <v>25198689</v>
      </c>
      <c r="CY34" s="797">
        <f t="shared" si="117"/>
        <v>0</v>
      </c>
      <c r="CZ34" s="797">
        <f t="shared" ref="CZ34:DA34" si="120">CZ23+CZ33</f>
        <v>0</v>
      </c>
      <c r="DA34" s="797">
        <f t="shared" si="120"/>
        <v>0</v>
      </c>
      <c r="DB34" s="797">
        <f t="shared" si="117"/>
        <v>0</v>
      </c>
      <c r="DC34" s="797">
        <f t="shared" si="117"/>
        <v>0</v>
      </c>
      <c r="DD34" s="797">
        <f t="shared" si="117"/>
        <v>0</v>
      </c>
      <c r="DE34" s="797">
        <f t="shared" si="13"/>
        <v>24753000</v>
      </c>
      <c r="DF34" s="797">
        <f t="shared" si="14"/>
        <v>25644378</v>
      </c>
      <c r="DG34" s="797">
        <f t="shared" si="15"/>
        <v>24909000</v>
      </c>
      <c r="DH34" s="797">
        <f t="shared" si="41"/>
        <v>25198689</v>
      </c>
      <c r="DI34" s="795" t="s">
        <v>28</v>
      </c>
      <c r="DJ34" s="761" t="s">
        <v>101</v>
      </c>
      <c r="DK34" s="796">
        <f t="shared" ref="DK34:DT34" si="121">DK23+DK33</f>
        <v>62270000</v>
      </c>
      <c r="DL34" s="797">
        <f t="shared" si="121"/>
        <v>42986919</v>
      </c>
      <c r="DM34" s="796">
        <f t="shared" ref="DM34:DN34" si="122">DM23+DM33</f>
        <v>64937000</v>
      </c>
      <c r="DN34" s="796">
        <f t="shared" si="122"/>
        <v>75212692</v>
      </c>
      <c r="DO34" s="796">
        <f t="shared" si="121"/>
        <v>0</v>
      </c>
      <c r="DP34" s="796">
        <f t="shared" ref="DP34:DQ34" si="123">DP23+DP33</f>
        <v>0</v>
      </c>
      <c r="DQ34" s="796">
        <f t="shared" si="123"/>
        <v>0</v>
      </c>
      <c r="DR34" s="796">
        <f t="shared" si="121"/>
        <v>0</v>
      </c>
      <c r="DS34" s="796">
        <f t="shared" si="121"/>
        <v>0</v>
      </c>
      <c r="DT34" s="796">
        <f t="shared" si="121"/>
        <v>0</v>
      </c>
      <c r="DU34" s="796">
        <f t="shared" si="16"/>
        <v>62270000</v>
      </c>
      <c r="DV34" s="797">
        <f t="shared" si="17"/>
        <v>42986919</v>
      </c>
      <c r="DW34" s="797">
        <f t="shared" si="18"/>
        <v>64937000</v>
      </c>
      <c r="DX34" s="797">
        <f t="shared" si="42"/>
        <v>75212692</v>
      </c>
      <c r="DY34" s="795" t="s">
        <v>28</v>
      </c>
      <c r="DZ34" s="761" t="s">
        <v>101</v>
      </c>
      <c r="EA34" s="798">
        <f t="shared" si="43"/>
        <v>1139450000</v>
      </c>
      <c r="EB34" s="798">
        <f t="shared" si="19"/>
        <v>1156158055</v>
      </c>
      <c r="EC34" s="798">
        <f t="shared" si="20"/>
        <v>1175156000</v>
      </c>
      <c r="ED34" s="798">
        <f t="shared" si="21"/>
        <v>1223909600</v>
      </c>
      <c r="EE34" s="798">
        <f t="shared" si="22"/>
        <v>0</v>
      </c>
      <c r="EF34" s="798">
        <f t="shared" si="23"/>
        <v>0</v>
      </c>
      <c r="EG34" s="798">
        <f t="shared" si="24"/>
        <v>0</v>
      </c>
      <c r="EH34" s="798">
        <f t="shared" si="25"/>
        <v>0</v>
      </c>
      <c r="EI34" s="798">
        <f t="shared" si="26"/>
        <v>0</v>
      </c>
      <c r="EJ34" s="798">
        <f t="shared" si="27"/>
        <v>0</v>
      </c>
      <c r="EK34" s="798">
        <f t="shared" si="28"/>
        <v>1139450000</v>
      </c>
      <c r="EL34" s="798">
        <f t="shared" si="29"/>
        <v>1156158055</v>
      </c>
      <c r="EM34" s="798">
        <f t="shared" si="30"/>
        <v>1568126000</v>
      </c>
      <c r="EN34" s="798">
        <f t="shared" si="31"/>
        <v>1223909600</v>
      </c>
    </row>
    <row r="35" spans="1:144" s="128" customFormat="1" ht="15" customHeight="1" x14ac:dyDescent="0.25">
      <c r="A35" s="749"/>
      <c r="B35" s="766"/>
      <c r="C35" s="745"/>
      <c r="D35" s="767"/>
      <c r="E35" s="745"/>
      <c r="F35" s="745"/>
      <c r="G35" s="745"/>
      <c r="H35" s="745"/>
      <c r="I35" s="745"/>
      <c r="J35" s="745"/>
      <c r="K35" s="745"/>
      <c r="L35" s="745"/>
      <c r="M35" s="746"/>
      <c r="N35" s="748"/>
      <c r="O35" s="748"/>
      <c r="P35" s="748"/>
      <c r="Q35" s="749"/>
      <c r="R35" s="766"/>
      <c r="S35" s="767"/>
      <c r="T35" s="767"/>
      <c r="U35" s="767"/>
      <c r="V35" s="767"/>
      <c r="W35" s="745"/>
      <c r="X35" s="767"/>
      <c r="Y35" s="767"/>
      <c r="Z35" s="767"/>
      <c r="AA35" s="767"/>
      <c r="AB35" s="767"/>
      <c r="AC35" s="748"/>
      <c r="AD35" s="748"/>
      <c r="AE35" s="748"/>
      <c r="AF35" s="748"/>
      <c r="AG35" s="749"/>
      <c r="AH35" s="750"/>
      <c r="AI35" s="767"/>
      <c r="AJ35" s="767"/>
      <c r="AK35" s="767"/>
      <c r="AL35" s="767"/>
      <c r="AM35" s="767"/>
      <c r="AN35" s="767"/>
      <c r="AO35" s="767"/>
      <c r="AP35" s="767"/>
      <c r="AQ35" s="767"/>
      <c r="AR35" s="767"/>
      <c r="AS35" s="748"/>
      <c r="AT35" s="748"/>
      <c r="AU35" s="748"/>
      <c r="AV35" s="748"/>
      <c r="AW35" s="749"/>
      <c r="AX35" s="750"/>
      <c r="AY35" s="767"/>
      <c r="AZ35" s="767"/>
      <c r="BA35" s="767"/>
      <c r="BB35" s="767"/>
      <c r="BC35" s="767"/>
      <c r="BD35" s="767"/>
      <c r="BE35" s="767"/>
      <c r="BF35" s="767"/>
      <c r="BG35" s="767"/>
      <c r="BH35" s="767"/>
      <c r="BI35" s="748"/>
      <c r="BJ35" s="748"/>
      <c r="BK35" s="748"/>
      <c r="BL35" s="748"/>
      <c r="BM35" s="749"/>
      <c r="BN35" s="750"/>
      <c r="BO35" s="767"/>
      <c r="BP35" s="767"/>
      <c r="BQ35" s="767"/>
      <c r="BR35" s="767"/>
      <c r="BS35" s="767"/>
      <c r="BT35" s="767"/>
      <c r="BU35" s="767"/>
      <c r="BV35" s="767"/>
      <c r="BW35" s="767"/>
      <c r="BX35" s="767"/>
      <c r="BY35" s="748"/>
      <c r="BZ35" s="748"/>
      <c r="CA35" s="748"/>
      <c r="CB35" s="748"/>
      <c r="CC35" s="749"/>
      <c r="CD35" s="750"/>
      <c r="CE35" s="767"/>
      <c r="CF35" s="767"/>
      <c r="CG35" s="767"/>
      <c r="CH35" s="767"/>
      <c r="CI35" s="767"/>
      <c r="CJ35" s="767"/>
      <c r="CK35" s="767"/>
      <c r="CL35" s="767"/>
      <c r="CM35" s="767"/>
      <c r="CN35" s="767"/>
      <c r="CO35" s="748"/>
      <c r="CP35" s="748"/>
      <c r="CQ35" s="748"/>
      <c r="CR35" s="748"/>
      <c r="CS35" s="749"/>
      <c r="CT35" s="750"/>
      <c r="CU35" s="767"/>
      <c r="CV35" s="767"/>
      <c r="CW35" s="767"/>
      <c r="CX35" s="767"/>
      <c r="CY35" s="767"/>
      <c r="CZ35" s="767"/>
      <c r="DA35" s="767"/>
      <c r="DB35" s="767"/>
      <c r="DC35" s="767"/>
      <c r="DD35" s="767"/>
      <c r="DE35" s="748"/>
      <c r="DF35" s="748"/>
      <c r="DG35" s="748"/>
      <c r="DH35" s="748"/>
      <c r="DI35" s="749"/>
      <c r="DJ35" s="750"/>
      <c r="DK35" s="745"/>
      <c r="DL35" s="767"/>
      <c r="DM35" s="745"/>
      <c r="DN35" s="745"/>
      <c r="DO35" s="745"/>
      <c r="DP35" s="745"/>
      <c r="DQ35" s="745"/>
      <c r="DR35" s="745"/>
      <c r="DS35" s="745"/>
      <c r="DT35" s="745"/>
      <c r="DU35" s="746"/>
      <c r="DV35" s="748"/>
      <c r="DW35" s="748"/>
      <c r="DX35" s="748"/>
      <c r="DY35" s="749"/>
      <c r="DZ35" s="750"/>
      <c r="EA35" s="768"/>
      <c r="EB35" s="768"/>
      <c r="EC35" s="768"/>
      <c r="ED35" s="768"/>
      <c r="EE35" s="768"/>
      <c r="EF35" s="768"/>
      <c r="EG35" s="768"/>
      <c r="EH35" s="768"/>
      <c r="EI35" s="768"/>
      <c r="EJ35" s="768"/>
      <c r="EK35" s="768"/>
      <c r="EL35" s="768"/>
      <c r="EM35" s="768"/>
    </row>
    <row r="36" spans="1:144" s="780" customFormat="1" ht="22.5" customHeight="1" x14ac:dyDescent="0.25">
      <c r="A36" s="769"/>
      <c r="B36" s="770" t="s">
        <v>6</v>
      </c>
      <c r="C36" s="771"/>
      <c r="D36" s="772"/>
      <c r="E36" s="771"/>
      <c r="F36" s="771"/>
      <c r="G36" s="773"/>
      <c r="H36" s="773"/>
      <c r="I36" s="773"/>
      <c r="J36" s="882" t="s">
        <v>400</v>
      </c>
      <c r="K36" s="882"/>
      <c r="L36" s="882"/>
      <c r="M36" s="883"/>
      <c r="N36" s="543"/>
      <c r="O36" s="543"/>
      <c r="P36" s="787"/>
      <c r="Q36" s="769"/>
      <c r="R36" s="770" t="s">
        <v>6</v>
      </c>
      <c r="S36" s="774"/>
      <c r="T36" s="775"/>
      <c r="U36" s="774"/>
      <c r="V36" s="775"/>
      <c r="W36" s="773"/>
      <c r="X36" s="775"/>
      <c r="Y36" s="775"/>
      <c r="Z36" s="775"/>
      <c r="AA36" s="880" t="s">
        <v>400</v>
      </c>
      <c r="AB36" s="881"/>
      <c r="AC36" s="747"/>
      <c r="AD36" s="776"/>
      <c r="AE36" s="776"/>
      <c r="AF36" s="793"/>
      <c r="AG36" s="769"/>
      <c r="AH36" s="777" t="s">
        <v>6</v>
      </c>
      <c r="AI36" s="774"/>
      <c r="AJ36" s="774"/>
      <c r="AK36" s="774"/>
      <c r="AL36" s="774"/>
      <c r="AM36" s="775"/>
      <c r="AN36" s="775"/>
      <c r="AO36" s="775"/>
      <c r="AP36" s="775"/>
      <c r="AQ36" s="880" t="s">
        <v>400</v>
      </c>
      <c r="AR36" s="880"/>
      <c r="AS36" s="881"/>
      <c r="AT36" s="747"/>
      <c r="AU36" s="747"/>
      <c r="AV36" s="788"/>
      <c r="AW36" s="769"/>
      <c r="AX36" s="777" t="s">
        <v>6</v>
      </c>
      <c r="AY36" s="774"/>
      <c r="AZ36" s="774"/>
      <c r="BA36" s="774"/>
      <c r="BB36" s="774"/>
      <c r="BC36" s="775"/>
      <c r="BD36" s="775"/>
      <c r="BE36" s="775"/>
      <c r="BF36" s="775"/>
      <c r="BG36" s="880" t="s">
        <v>400</v>
      </c>
      <c r="BH36" s="880"/>
      <c r="BI36" s="881"/>
      <c r="BJ36" s="747"/>
      <c r="BK36" s="747"/>
      <c r="BL36" s="788"/>
      <c r="BM36" s="769"/>
      <c r="BN36" s="777" t="s">
        <v>6</v>
      </c>
      <c r="BO36" s="774"/>
      <c r="BP36" s="774"/>
      <c r="BQ36" s="774"/>
      <c r="BR36" s="774"/>
      <c r="BS36" s="775"/>
      <c r="BT36" s="775"/>
      <c r="BU36" s="775"/>
      <c r="BV36" s="775"/>
      <c r="BW36" s="880" t="s">
        <v>400</v>
      </c>
      <c r="BX36" s="880"/>
      <c r="BY36" s="881"/>
      <c r="BZ36" s="747"/>
      <c r="CA36" s="747"/>
      <c r="CB36" s="788"/>
      <c r="CC36" s="769"/>
      <c r="CD36" s="777" t="s">
        <v>6</v>
      </c>
      <c r="CE36" s="774"/>
      <c r="CF36" s="774"/>
      <c r="CG36" s="774"/>
      <c r="CH36" s="774"/>
      <c r="CI36" s="775"/>
      <c r="CJ36" s="775"/>
      <c r="CK36" s="775"/>
      <c r="CL36" s="775"/>
      <c r="CM36" s="880" t="s">
        <v>400</v>
      </c>
      <c r="CN36" s="880"/>
      <c r="CO36" s="881"/>
      <c r="CP36" s="747"/>
      <c r="CQ36" s="747"/>
      <c r="CR36" s="788"/>
      <c r="CS36" s="769"/>
      <c r="CT36" s="777" t="s">
        <v>6</v>
      </c>
      <c r="CU36" s="774"/>
      <c r="CV36" s="774"/>
      <c r="CW36" s="774"/>
      <c r="CX36" s="774"/>
      <c r="CY36" s="775"/>
      <c r="CZ36" s="775"/>
      <c r="DA36" s="775"/>
      <c r="DB36" s="775"/>
      <c r="DC36" s="880" t="s">
        <v>400</v>
      </c>
      <c r="DD36" s="880"/>
      <c r="DE36" s="881"/>
      <c r="DF36" s="747"/>
      <c r="DG36" s="747"/>
      <c r="DH36" s="788"/>
      <c r="DI36" s="769"/>
      <c r="DJ36" s="777" t="s">
        <v>6</v>
      </c>
      <c r="DK36" s="778"/>
      <c r="DL36" s="778"/>
      <c r="DM36" s="778"/>
      <c r="DN36" s="778"/>
      <c r="DO36" s="779"/>
      <c r="DP36" s="779"/>
      <c r="DQ36" s="779"/>
      <c r="DR36" s="779"/>
      <c r="DS36" s="892" t="s">
        <v>400</v>
      </c>
      <c r="DT36" s="892"/>
      <c r="DU36" s="893"/>
      <c r="DV36" s="747"/>
      <c r="DW36" s="747"/>
      <c r="DX36" s="788"/>
      <c r="DY36" s="769"/>
      <c r="DZ36" s="777" t="s">
        <v>6</v>
      </c>
      <c r="EA36" s="775"/>
      <c r="EB36" s="775"/>
      <c r="EC36" s="775"/>
      <c r="ED36" s="775"/>
      <c r="EE36" s="775"/>
      <c r="EF36" s="775"/>
      <c r="EG36" s="775"/>
      <c r="EH36" s="775"/>
      <c r="EI36" s="775"/>
      <c r="EJ36" s="775"/>
      <c r="EK36" s="775"/>
      <c r="EL36" s="775"/>
    </row>
    <row r="37" spans="1:144" ht="62.25" customHeight="1" x14ac:dyDescent="0.25">
      <c r="A37" s="762" t="s">
        <v>31</v>
      </c>
      <c r="B37" s="763" t="s">
        <v>32</v>
      </c>
      <c r="C37" s="764" t="s">
        <v>418</v>
      </c>
      <c r="D37" s="242" t="s">
        <v>537</v>
      </c>
      <c r="E37" s="368" t="s">
        <v>538</v>
      </c>
      <c r="F37" s="368" t="s">
        <v>539</v>
      </c>
      <c r="G37" s="368" t="s">
        <v>419</v>
      </c>
      <c r="H37" s="587" t="s">
        <v>543</v>
      </c>
      <c r="I37" s="588" t="s">
        <v>544</v>
      </c>
      <c r="J37" s="589" t="s">
        <v>545</v>
      </c>
      <c r="K37" s="583" t="s">
        <v>420</v>
      </c>
      <c r="L37" s="368" t="s">
        <v>424</v>
      </c>
      <c r="M37" s="368" t="s">
        <v>421</v>
      </c>
      <c r="N37" s="587" t="s">
        <v>541</v>
      </c>
      <c r="O37" s="588" t="s">
        <v>542</v>
      </c>
      <c r="P37" s="588" t="s">
        <v>587</v>
      </c>
      <c r="Q37" s="762" t="s">
        <v>31</v>
      </c>
      <c r="R37" s="763" t="s">
        <v>32</v>
      </c>
      <c r="S37" s="765" t="s">
        <v>418</v>
      </c>
      <c r="T37" s="242" t="s">
        <v>537</v>
      </c>
      <c r="U37" s="368" t="s">
        <v>538</v>
      </c>
      <c r="V37" s="368" t="s">
        <v>539</v>
      </c>
      <c r="W37" s="368" t="s">
        <v>419</v>
      </c>
      <c r="X37" s="587" t="s">
        <v>543</v>
      </c>
      <c r="Y37" s="588" t="s">
        <v>544</v>
      </c>
      <c r="Z37" s="589" t="s">
        <v>545</v>
      </c>
      <c r="AA37" s="583" t="s">
        <v>420</v>
      </c>
      <c r="AB37" s="368" t="s">
        <v>424</v>
      </c>
      <c r="AC37" s="368" t="s">
        <v>421</v>
      </c>
      <c r="AD37" s="587" t="s">
        <v>541</v>
      </c>
      <c r="AE37" s="588" t="s">
        <v>542</v>
      </c>
      <c r="AF37" s="588" t="s">
        <v>587</v>
      </c>
      <c r="AG37" s="762" t="s">
        <v>31</v>
      </c>
      <c r="AH37" s="549" t="s">
        <v>32</v>
      </c>
      <c r="AI37" s="765" t="s">
        <v>418</v>
      </c>
      <c r="AJ37" s="242" t="s">
        <v>537</v>
      </c>
      <c r="AK37" s="368" t="s">
        <v>538</v>
      </c>
      <c r="AL37" s="368" t="s">
        <v>539</v>
      </c>
      <c r="AM37" s="368" t="s">
        <v>419</v>
      </c>
      <c r="AN37" s="587" t="s">
        <v>543</v>
      </c>
      <c r="AO37" s="588" t="s">
        <v>544</v>
      </c>
      <c r="AP37" s="589" t="s">
        <v>545</v>
      </c>
      <c r="AQ37" s="583" t="s">
        <v>420</v>
      </c>
      <c r="AR37" s="368" t="s">
        <v>424</v>
      </c>
      <c r="AS37" s="368" t="s">
        <v>421</v>
      </c>
      <c r="AT37" s="587" t="s">
        <v>541</v>
      </c>
      <c r="AU37" s="588" t="s">
        <v>542</v>
      </c>
      <c r="AV37" s="588" t="s">
        <v>587</v>
      </c>
      <c r="AW37" s="762" t="s">
        <v>31</v>
      </c>
      <c r="AX37" s="549" t="s">
        <v>32</v>
      </c>
      <c r="AY37" s="765" t="s">
        <v>418</v>
      </c>
      <c r="AZ37" s="242" t="s">
        <v>537</v>
      </c>
      <c r="BA37" s="368" t="s">
        <v>538</v>
      </c>
      <c r="BB37" s="368" t="s">
        <v>539</v>
      </c>
      <c r="BC37" s="368" t="s">
        <v>419</v>
      </c>
      <c r="BD37" s="587" t="s">
        <v>543</v>
      </c>
      <c r="BE37" s="588" t="s">
        <v>544</v>
      </c>
      <c r="BF37" s="589" t="s">
        <v>545</v>
      </c>
      <c r="BG37" s="583" t="s">
        <v>420</v>
      </c>
      <c r="BH37" s="368" t="s">
        <v>424</v>
      </c>
      <c r="BI37" s="368" t="s">
        <v>421</v>
      </c>
      <c r="BJ37" s="587" t="s">
        <v>541</v>
      </c>
      <c r="BK37" s="588" t="s">
        <v>542</v>
      </c>
      <c r="BL37" s="588" t="s">
        <v>587</v>
      </c>
      <c r="BM37" s="762" t="s">
        <v>31</v>
      </c>
      <c r="BN37" s="549" t="s">
        <v>32</v>
      </c>
      <c r="BO37" s="765" t="s">
        <v>418</v>
      </c>
      <c r="BP37" s="242" t="s">
        <v>537</v>
      </c>
      <c r="BQ37" s="368" t="s">
        <v>538</v>
      </c>
      <c r="BR37" s="368" t="s">
        <v>539</v>
      </c>
      <c r="BS37" s="368" t="s">
        <v>419</v>
      </c>
      <c r="BT37" s="587" t="s">
        <v>543</v>
      </c>
      <c r="BU37" s="588" t="s">
        <v>544</v>
      </c>
      <c r="BV37" s="589" t="s">
        <v>545</v>
      </c>
      <c r="BW37" s="583" t="s">
        <v>420</v>
      </c>
      <c r="BX37" s="368" t="s">
        <v>424</v>
      </c>
      <c r="BY37" s="368" t="s">
        <v>421</v>
      </c>
      <c r="BZ37" s="587" t="s">
        <v>541</v>
      </c>
      <c r="CA37" s="588" t="s">
        <v>542</v>
      </c>
      <c r="CB37" s="588" t="s">
        <v>587</v>
      </c>
      <c r="CC37" s="762" t="s">
        <v>31</v>
      </c>
      <c r="CD37" s="549" t="s">
        <v>32</v>
      </c>
      <c r="CE37" s="765" t="s">
        <v>418</v>
      </c>
      <c r="CF37" s="242" t="s">
        <v>537</v>
      </c>
      <c r="CG37" s="368" t="s">
        <v>538</v>
      </c>
      <c r="CH37" s="368" t="s">
        <v>539</v>
      </c>
      <c r="CI37" s="368" t="s">
        <v>419</v>
      </c>
      <c r="CJ37" s="587" t="s">
        <v>543</v>
      </c>
      <c r="CK37" s="588" t="s">
        <v>544</v>
      </c>
      <c r="CL37" s="589" t="s">
        <v>545</v>
      </c>
      <c r="CM37" s="583" t="s">
        <v>420</v>
      </c>
      <c r="CN37" s="368" t="s">
        <v>424</v>
      </c>
      <c r="CO37" s="368" t="s">
        <v>421</v>
      </c>
      <c r="CP37" s="587" t="s">
        <v>541</v>
      </c>
      <c r="CQ37" s="588" t="s">
        <v>542</v>
      </c>
      <c r="CR37" s="588" t="s">
        <v>587</v>
      </c>
      <c r="CS37" s="762" t="s">
        <v>31</v>
      </c>
      <c r="CT37" s="549" t="s">
        <v>32</v>
      </c>
      <c r="CU37" s="765" t="s">
        <v>418</v>
      </c>
      <c r="CV37" s="242" t="s">
        <v>537</v>
      </c>
      <c r="CW37" s="368" t="s">
        <v>538</v>
      </c>
      <c r="CX37" s="368" t="s">
        <v>539</v>
      </c>
      <c r="CY37" s="368" t="s">
        <v>419</v>
      </c>
      <c r="CZ37" s="587" t="s">
        <v>543</v>
      </c>
      <c r="DA37" s="588" t="s">
        <v>544</v>
      </c>
      <c r="DB37" s="589" t="s">
        <v>545</v>
      </c>
      <c r="DC37" s="583" t="s">
        <v>420</v>
      </c>
      <c r="DD37" s="368" t="s">
        <v>424</v>
      </c>
      <c r="DE37" s="368" t="s">
        <v>421</v>
      </c>
      <c r="DF37" s="587" t="s">
        <v>541</v>
      </c>
      <c r="DG37" s="588" t="s">
        <v>542</v>
      </c>
      <c r="DH37" s="588" t="s">
        <v>587</v>
      </c>
      <c r="DI37" s="762" t="s">
        <v>31</v>
      </c>
      <c r="DJ37" s="549" t="s">
        <v>32</v>
      </c>
      <c r="DK37" s="764" t="s">
        <v>418</v>
      </c>
      <c r="DL37" s="242" t="s">
        <v>537</v>
      </c>
      <c r="DM37" s="368" t="s">
        <v>538</v>
      </c>
      <c r="DN37" s="368" t="s">
        <v>539</v>
      </c>
      <c r="DO37" s="368" t="s">
        <v>419</v>
      </c>
      <c r="DP37" s="587" t="s">
        <v>543</v>
      </c>
      <c r="DQ37" s="588" t="s">
        <v>544</v>
      </c>
      <c r="DR37" s="589" t="s">
        <v>545</v>
      </c>
      <c r="DS37" s="583" t="s">
        <v>420</v>
      </c>
      <c r="DT37" s="368" t="s">
        <v>424</v>
      </c>
      <c r="DU37" s="368" t="s">
        <v>421</v>
      </c>
      <c r="DV37" s="587" t="s">
        <v>541</v>
      </c>
      <c r="DW37" s="588" t="s">
        <v>542</v>
      </c>
      <c r="DX37" s="588" t="s">
        <v>587</v>
      </c>
      <c r="DY37" s="762" t="s">
        <v>31</v>
      </c>
      <c r="DZ37" s="549" t="s">
        <v>32</v>
      </c>
      <c r="EA37" s="765" t="s">
        <v>418</v>
      </c>
      <c r="EB37" s="242" t="s">
        <v>537</v>
      </c>
      <c r="EC37" s="368" t="s">
        <v>538</v>
      </c>
      <c r="ED37" s="368" t="s">
        <v>539</v>
      </c>
      <c r="EE37" s="368" t="s">
        <v>419</v>
      </c>
      <c r="EF37" s="587" t="s">
        <v>543</v>
      </c>
      <c r="EG37" s="588" t="s">
        <v>544</v>
      </c>
      <c r="EH37" s="589" t="s">
        <v>545</v>
      </c>
      <c r="EI37" s="583" t="s">
        <v>420</v>
      </c>
      <c r="EJ37" s="368" t="s">
        <v>424</v>
      </c>
      <c r="EK37" s="368" t="s">
        <v>421</v>
      </c>
      <c r="EL37" s="587" t="s">
        <v>541</v>
      </c>
      <c r="EM37" s="588" t="s">
        <v>542</v>
      </c>
      <c r="EN37" s="589" t="s">
        <v>545</v>
      </c>
    </row>
    <row r="38" spans="1:144" s="180" customFormat="1" x14ac:dyDescent="0.25">
      <c r="A38" s="631" t="s">
        <v>12</v>
      </c>
      <c r="B38" s="728" t="s">
        <v>103</v>
      </c>
      <c r="C38" s="505">
        <f>C39+C40+C41+C42+C43+C48</f>
        <v>386620000</v>
      </c>
      <c r="D38" s="79">
        <f>D39+D40+D41+D42+D43+D48</f>
        <v>412343778</v>
      </c>
      <c r="E38" s="505">
        <f>E39+E40+E41+E42+E43+E48</f>
        <v>441763000</v>
      </c>
      <c r="F38" s="505">
        <f>F39+F40+F41+F42+F43+F48</f>
        <v>444372515</v>
      </c>
      <c r="G38" s="505">
        <v>0</v>
      </c>
      <c r="H38" s="505">
        <v>0</v>
      </c>
      <c r="I38" s="505">
        <v>0</v>
      </c>
      <c r="J38" s="505">
        <f>J39+J40+J41+J42+J43+J48</f>
        <v>0</v>
      </c>
      <c r="K38" s="505"/>
      <c r="L38" s="505">
        <f>L39+L40+L41+L42+L43+L48</f>
        <v>0</v>
      </c>
      <c r="M38" s="168">
        <f t="shared" ref="M38:M63" si="124">C38+G38+K38</f>
        <v>386620000</v>
      </c>
      <c r="N38" s="168">
        <f t="shared" ref="N38:N43" si="125">D38+H38+L38</f>
        <v>412343778</v>
      </c>
      <c r="O38" s="168">
        <f t="shared" ref="O38:O43" si="126">E38+I38+M38</f>
        <v>828383000</v>
      </c>
      <c r="P38" s="168">
        <f t="shared" ref="P38:P63" si="127">F38+J38+L38</f>
        <v>444372515</v>
      </c>
      <c r="Q38" s="631" t="s">
        <v>12</v>
      </c>
      <c r="R38" s="728" t="s">
        <v>103</v>
      </c>
      <c r="S38" s="139">
        <f t="shared" ref="S38:AB38" si="128">S39+S40+S41+S42+S43+S48</f>
        <v>65037000</v>
      </c>
      <c r="T38" s="139">
        <f t="shared" si="128"/>
        <v>66400169</v>
      </c>
      <c r="U38" s="139">
        <f t="shared" si="128"/>
        <v>51359300</v>
      </c>
      <c r="V38" s="133">
        <f t="shared" si="128"/>
        <v>56685176</v>
      </c>
      <c r="W38" s="505">
        <v>0</v>
      </c>
      <c r="X38" s="133">
        <f t="shared" ref="X38:Y38" si="129">X39+X40+X41+X42+X43+X48</f>
        <v>0</v>
      </c>
      <c r="Y38" s="133">
        <f t="shared" si="129"/>
        <v>0</v>
      </c>
      <c r="Z38" s="133">
        <f t="shared" si="128"/>
        <v>0</v>
      </c>
      <c r="AA38" s="133">
        <f t="shared" si="128"/>
        <v>0</v>
      </c>
      <c r="AB38" s="133">
        <f t="shared" si="128"/>
        <v>0</v>
      </c>
      <c r="AC38" s="139">
        <f t="shared" ref="AC38:AC63" si="130">S38+W38+AA38</f>
        <v>65037000</v>
      </c>
      <c r="AD38" s="139">
        <f t="shared" ref="AD38:AD63" si="131">T38+X38+AB38</f>
        <v>66400169</v>
      </c>
      <c r="AE38" s="139">
        <f t="shared" ref="AE38:AE63" si="132">U38+Y38+AB38</f>
        <v>51359300</v>
      </c>
      <c r="AF38" s="139">
        <f>V38+Z38+AB38</f>
        <v>56685176</v>
      </c>
      <c r="AG38" s="631" t="s">
        <v>12</v>
      </c>
      <c r="AH38" s="599" t="s">
        <v>103</v>
      </c>
      <c r="AI38" s="139">
        <f t="shared" ref="AI38:AR38" si="133">AI39+AI40+AI41+AI42+AI43+AI48</f>
        <v>108511000</v>
      </c>
      <c r="AJ38" s="139">
        <f t="shared" ref="AJ38" si="134">AJ39+AJ40+AJ41+AJ42+AJ43+AJ48</f>
        <v>110082677</v>
      </c>
      <c r="AK38" s="139">
        <f t="shared" si="133"/>
        <v>119402000</v>
      </c>
      <c r="AL38" s="139">
        <f t="shared" si="133"/>
        <v>119862137</v>
      </c>
      <c r="AM38" s="133">
        <f t="shared" si="133"/>
        <v>0</v>
      </c>
      <c r="AN38" s="133">
        <f t="shared" ref="AN38:AO38" si="135">AN39+AN40+AN41+AN42+AN43+AN48</f>
        <v>0</v>
      </c>
      <c r="AO38" s="133">
        <f t="shared" si="135"/>
        <v>0</v>
      </c>
      <c r="AP38" s="133">
        <f t="shared" si="133"/>
        <v>0</v>
      </c>
      <c r="AQ38" s="133">
        <f t="shared" si="133"/>
        <v>0</v>
      </c>
      <c r="AR38" s="133">
        <f t="shared" si="133"/>
        <v>0</v>
      </c>
      <c r="AS38" s="139">
        <f t="shared" ref="AS38:AS63" si="136">AI38+AM38+AQ38</f>
        <v>108511000</v>
      </c>
      <c r="AT38" s="139">
        <f t="shared" ref="AT38:AT63" si="137">AJ38+AN38+AR38</f>
        <v>110082677</v>
      </c>
      <c r="AU38" s="139">
        <f t="shared" ref="AU38:AU63" si="138">AK38+AO38+AR38</f>
        <v>119402000</v>
      </c>
      <c r="AV38" s="139">
        <f>AL38+AP38+AR38</f>
        <v>119862137</v>
      </c>
      <c r="AW38" s="631" t="s">
        <v>12</v>
      </c>
      <c r="AX38" s="599" t="s">
        <v>103</v>
      </c>
      <c r="AY38" s="133">
        <f t="shared" ref="AY38:BH38" si="139">AY39+AY40+AY41+AY42+AY43+AY48</f>
        <v>256747000</v>
      </c>
      <c r="AZ38" s="133">
        <f t="shared" si="139"/>
        <v>259855561</v>
      </c>
      <c r="BA38" s="133">
        <f t="shared" ref="BA38:BB38" si="140">BA39+BA40+BA41+BA42+BA43+BA48</f>
        <v>250260000</v>
      </c>
      <c r="BB38" s="133">
        <f t="shared" si="140"/>
        <v>259281261</v>
      </c>
      <c r="BC38" s="133">
        <f t="shared" si="139"/>
        <v>0</v>
      </c>
      <c r="BD38" s="133">
        <f t="shared" ref="BD38:BE38" si="141">BD39+BD40+BD41+BD42+BD43+BD48</f>
        <v>0</v>
      </c>
      <c r="BE38" s="133">
        <f t="shared" si="141"/>
        <v>0</v>
      </c>
      <c r="BF38" s="133">
        <f t="shared" si="139"/>
        <v>0</v>
      </c>
      <c r="BG38" s="133">
        <f t="shared" si="139"/>
        <v>0</v>
      </c>
      <c r="BH38" s="133">
        <f t="shared" si="139"/>
        <v>0</v>
      </c>
      <c r="BI38" s="139">
        <f t="shared" ref="BI38:BI63" si="142">AY38+BC38+BG38</f>
        <v>256747000</v>
      </c>
      <c r="BJ38" s="139">
        <f t="shared" ref="BJ38:BJ63" si="143">AZ38+BD38+BH38</f>
        <v>259855561</v>
      </c>
      <c r="BK38" s="139">
        <f t="shared" ref="BK38:BK63" si="144">BA38+BE38+BH38</f>
        <v>250260000</v>
      </c>
      <c r="BL38" s="139">
        <f t="shared" ref="BL38:BL63" si="145">BB38+BF38+BH38</f>
        <v>259281261</v>
      </c>
      <c r="BM38" s="631" t="s">
        <v>12</v>
      </c>
      <c r="BN38" s="599" t="s">
        <v>103</v>
      </c>
      <c r="BO38" s="133">
        <f t="shared" ref="BO38:BX38" si="146">BO39+BO40+BO41+BO42+BO43+BO48</f>
        <v>180033000</v>
      </c>
      <c r="BP38" s="133">
        <f t="shared" ref="BP38" si="147">BP39+BP40+BP41+BP42+BP43+BP48</f>
        <v>181985637</v>
      </c>
      <c r="BQ38" s="133">
        <f t="shared" si="146"/>
        <v>162369000</v>
      </c>
      <c r="BR38" s="133">
        <f t="shared" si="146"/>
        <v>181661613</v>
      </c>
      <c r="BS38" s="133">
        <f t="shared" si="146"/>
        <v>0</v>
      </c>
      <c r="BT38" s="133">
        <f t="shared" ref="BT38:BU38" si="148">BT39+BT40+BT41+BT42+BT43+BT48</f>
        <v>0</v>
      </c>
      <c r="BU38" s="133">
        <f t="shared" si="148"/>
        <v>0</v>
      </c>
      <c r="BV38" s="133">
        <f t="shared" si="146"/>
        <v>0</v>
      </c>
      <c r="BW38" s="133">
        <f t="shared" si="146"/>
        <v>0</v>
      </c>
      <c r="BX38" s="133">
        <f t="shared" si="146"/>
        <v>0</v>
      </c>
      <c r="BY38" s="139">
        <f t="shared" ref="BY38:BY63" si="149">BO38+BS38+BW38</f>
        <v>180033000</v>
      </c>
      <c r="BZ38" s="139">
        <f t="shared" ref="BZ38:BZ63" si="150">BP38+BT38+BX38</f>
        <v>181985637</v>
      </c>
      <c r="CA38" s="139">
        <f t="shared" ref="CA38:CA63" si="151">BQ38+BU38+BX38</f>
        <v>162369000</v>
      </c>
      <c r="CB38" s="139">
        <f t="shared" ref="CB38:CB63" si="152">BR38+BV38+BX38</f>
        <v>181661613</v>
      </c>
      <c r="CC38" s="631" t="s">
        <v>12</v>
      </c>
      <c r="CD38" s="599" t="s">
        <v>103</v>
      </c>
      <c r="CE38" s="133">
        <f t="shared" ref="CE38:CN38" si="153">CE39+CE40+CE41+CE42+CE43+CE48</f>
        <v>49129000</v>
      </c>
      <c r="CF38" s="133">
        <f t="shared" ref="CF38:CH38" si="154">CF39+CF40+CF41+CF42+CF43+CF48</f>
        <v>50207336</v>
      </c>
      <c r="CG38" s="133">
        <f t="shared" si="154"/>
        <v>47660000</v>
      </c>
      <c r="CH38" s="133">
        <f t="shared" si="154"/>
        <v>48802841</v>
      </c>
      <c r="CI38" s="133">
        <f t="shared" si="153"/>
        <v>0</v>
      </c>
      <c r="CJ38" s="133">
        <f t="shared" ref="CJ38:CK38" si="155">CJ39+CJ40+CJ41+CJ42+CJ43+CJ48</f>
        <v>0</v>
      </c>
      <c r="CK38" s="133">
        <f t="shared" si="155"/>
        <v>0</v>
      </c>
      <c r="CL38" s="133">
        <f t="shared" si="153"/>
        <v>0</v>
      </c>
      <c r="CM38" s="133">
        <f t="shared" si="153"/>
        <v>0</v>
      </c>
      <c r="CN38" s="133">
        <f t="shared" si="153"/>
        <v>0</v>
      </c>
      <c r="CO38" s="139">
        <f t="shared" ref="CO38:CO63" si="156">CE38+CI38+CM38</f>
        <v>49129000</v>
      </c>
      <c r="CP38" s="139">
        <f t="shared" ref="CP38:CP63" si="157">CF38+CJ38+CN38</f>
        <v>50207336</v>
      </c>
      <c r="CQ38" s="139">
        <f t="shared" ref="CQ38:CQ63" si="158">CG38+CK38+CN38</f>
        <v>47660000</v>
      </c>
      <c r="CR38" s="139">
        <f t="shared" ref="CR38:CR63" si="159">CH38+CL38+CN38</f>
        <v>48802841</v>
      </c>
      <c r="CS38" s="631" t="s">
        <v>12</v>
      </c>
      <c r="CT38" s="599" t="s">
        <v>103</v>
      </c>
      <c r="CU38" s="133">
        <f t="shared" ref="CU38:DD38" si="160">CU39+CU40+CU41+CU42+CU43+CU48</f>
        <v>23178000</v>
      </c>
      <c r="CV38" s="133">
        <f t="shared" ref="CV38:CX38" si="161">CV39+CV40+CV41+CV42+CV43+CV48</f>
        <v>23750628</v>
      </c>
      <c r="CW38" s="133">
        <f t="shared" si="161"/>
        <v>22754000</v>
      </c>
      <c r="CX38" s="133">
        <f t="shared" si="161"/>
        <v>23045229</v>
      </c>
      <c r="CY38" s="133">
        <f t="shared" si="160"/>
        <v>0</v>
      </c>
      <c r="CZ38" s="133">
        <f t="shared" ref="CZ38:DA38" si="162">CZ39+CZ40+CZ41+CZ42+CZ43+CZ48</f>
        <v>0</v>
      </c>
      <c r="DA38" s="133">
        <f t="shared" si="162"/>
        <v>0</v>
      </c>
      <c r="DB38" s="133">
        <f t="shared" si="160"/>
        <v>0</v>
      </c>
      <c r="DC38" s="133">
        <f t="shared" si="160"/>
        <v>0</v>
      </c>
      <c r="DD38" s="133">
        <f t="shared" si="160"/>
        <v>0</v>
      </c>
      <c r="DE38" s="134">
        <f t="shared" ref="DE38:DE63" si="163">CU38+CY38+DC38</f>
        <v>23178000</v>
      </c>
      <c r="DF38" s="134">
        <f t="shared" ref="DF38:DF63" si="164">CV38+CZ38+DD38</f>
        <v>23750628</v>
      </c>
      <c r="DG38" s="134">
        <f t="shared" ref="DG38:DG63" si="165">CW38+DA38+DD38</f>
        <v>22754000</v>
      </c>
      <c r="DH38" s="134">
        <f t="shared" ref="DH38:DH63" si="166">CX38+DB38+DD38</f>
        <v>23045229</v>
      </c>
      <c r="DI38" s="631" t="s">
        <v>12</v>
      </c>
      <c r="DJ38" s="599" t="s">
        <v>103</v>
      </c>
      <c r="DK38" s="505">
        <f t="shared" ref="DK38:DT38" si="167">DK39+DK40+DK41+DK42+DK43+DK48</f>
        <v>62270000</v>
      </c>
      <c r="DL38" s="79">
        <f t="shared" si="167"/>
        <v>42910919</v>
      </c>
      <c r="DM38" s="505">
        <f t="shared" ref="DM38:DN38" si="168">DM39+DM40+DM41+DM42+DM43+DM48</f>
        <v>64461000</v>
      </c>
      <c r="DN38" s="505">
        <f t="shared" si="168"/>
        <v>74497087</v>
      </c>
      <c r="DO38" s="505">
        <f t="shared" si="167"/>
        <v>0</v>
      </c>
      <c r="DP38" s="505">
        <f t="shared" ref="DP38:DQ38" si="169">DP39+DP40+DP41+DP42+DP43+DP48</f>
        <v>0</v>
      </c>
      <c r="DQ38" s="505">
        <f t="shared" si="169"/>
        <v>0</v>
      </c>
      <c r="DR38" s="505">
        <f t="shared" si="167"/>
        <v>0</v>
      </c>
      <c r="DS38" s="505">
        <f t="shared" si="167"/>
        <v>0</v>
      </c>
      <c r="DT38" s="505">
        <f t="shared" si="167"/>
        <v>0</v>
      </c>
      <c r="DU38" s="509">
        <f t="shared" ref="DU38:DU63" si="170">DK38+DO38+DS38</f>
        <v>62270000</v>
      </c>
      <c r="DV38" s="134">
        <f t="shared" ref="DV38:DV63" si="171">DL38+DP38+DT38</f>
        <v>42910919</v>
      </c>
      <c r="DW38" s="134">
        <f t="shared" ref="DW38:DW63" si="172">DM38+DQ38+DT38</f>
        <v>64461000</v>
      </c>
      <c r="DX38" s="134">
        <f t="shared" ref="DX38:DX63" si="173">DN38+DR38+DT38</f>
        <v>74497087</v>
      </c>
      <c r="DY38" s="631" t="s">
        <v>12</v>
      </c>
      <c r="DZ38" s="599" t="s">
        <v>103</v>
      </c>
      <c r="EA38" s="320">
        <f>+CU38+CE38+BO38+AY38+AI38+S38+C38+DK38</f>
        <v>1131525000</v>
      </c>
      <c r="EB38" s="320">
        <f t="shared" ref="EB38:EB63" si="174">+CV38+CF38+BP38+AZ38+AJ38+T38+D38+DL38</f>
        <v>1147536705</v>
      </c>
      <c r="EC38" s="320">
        <f t="shared" ref="EC38:EC63" si="175">+CW38+CG38+BQ38+BA38+AK38+U38+E38+DM38</f>
        <v>1160028300</v>
      </c>
      <c r="ED38" s="320">
        <f t="shared" ref="ED38:ED63" si="176">+CX38+CH38+BR38+BB38+AL38+V38+F38+DN38</f>
        <v>1208207859</v>
      </c>
      <c r="EE38" s="320">
        <f t="shared" ref="EE38:EE63" si="177">+CY38+CI38+BS38+BC38+AM38+W38+G38+DO38</f>
        <v>0</v>
      </c>
      <c r="EF38" s="320">
        <f t="shared" ref="EF38:EF63" si="178">+CZ38+CJ38+BT38+BD38+AN38+X38+H38+DP38</f>
        <v>0</v>
      </c>
      <c r="EG38" s="320">
        <f t="shared" ref="EG38:EG63" si="179">+DA38+CK38+BU38+BE38+AO38+Y38+I38+DQ38</f>
        <v>0</v>
      </c>
      <c r="EH38" s="320">
        <f t="shared" ref="EH38:EH63" si="180">+DB38+CL38+BV38+BF38+AP38+Z38+J38+DR38</f>
        <v>0</v>
      </c>
      <c r="EI38" s="320">
        <f t="shared" ref="EI38:EI63" si="181">+DC38+CM38+BW38+BG38+AQ38+AA38+K38+DS38</f>
        <v>0</v>
      </c>
      <c r="EJ38" s="320">
        <f t="shared" ref="EJ38:EJ63" si="182">+DD38+CN38+BX38+BH38+AR38+AB38+L38+DT38</f>
        <v>0</v>
      </c>
      <c r="EK38" s="320">
        <f t="shared" ref="EK38:EK63" si="183">+DE38+CO38+BY38+BI38+AS38+AC38+M38+DU38</f>
        <v>1131525000</v>
      </c>
      <c r="EL38" s="320">
        <f t="shared" ref="EL38:EL63" si="184">+DF38+CP38+BZ38+BJ38+AT38+AD38+N38+DV38</f>
        <v>1147536705</v>
      </c>
      <c r="EM38" s="320">
        <f t="shared" ref="EM38:EM63" si="185">+DG38+CQ38+CA38+BK38+AU38+AE38+O38+DW38</f>
        <v>1546648300</v>
      </c>
      <c r="EN38" s="320">
        <f t="shared" ref="EN38:EN63" si="186">+DH38+CR38+CB38+BL38+AV38+AF38+P38+DX38</f>
        <v>1208207859</v>
      </c>
    </row>
    <row r="39" spans="1:144" x14ac:dyDescent="0.25">
      <c r="A39" s="636" t="s">
        <v>59</v>
      </c>
      <c r="B39" s="727" t="s">
        <v>7</v>
      </c>
      <c r="C39" s="369">
        <v>262834000</v>
      </c>
      <c r="D39" s="144">
        <f>2040453+262834000</f>
        <v>264874453</v>
      </c>
      <c r="E39" s="369">
        <v>288105000</v>
      </c>
      <c r="F39" s="369">
        <v>290144768</v>
      </c>
      <c r="G39" s="369">
        <v>0</v>
      </c>
      <c r="H39" s="369">
        <v>0</v>
      </c>
      <c r="I39" s="369">
        <v>0</v>
      </c>
      <c r="J39" s="369">
        <v>0</v>
      </c>
      <c r="K39" s="369"/>
      <c r="L39" s="369">
        <v>0</v>
      </c>
      <c r="M39" s="168">
        <f t="shared" si="124"/>
        <v>262834000</v>
      </c>
      <c r="N39" s="168">
        <f t="shared" si="125"/>
        <v>264874453</v>
      </c>
      <c r="O39" s="168">
        <f t="shared" si="126"/>
        <v>550939000</v>
      </c>
      <c r="P39" s="168">
        <f t="shared" si="127"/>
        <v>290144768</v>
      </c>
      <c r="Q39" s="636" t="s">
        <v>59</v>
      </c>
      <c r="R39" s="727" t="s">
        <v>7</v>
      </c>
      <c r="S39" s="29">
        <v>42865000</v>
      </c>
      <c r="T39" s="144">
        <v>42865000</v>
      </c>
      <c r="U39" s="144">
        <v>32515000</v>
      </c>
      <c r="V39" s="29">
        <v>34465000</v>
      </c>
      <c r="W39" s="36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139">
        <f t="shared" si="130"/>
        <v>42865000</v>
      </c>
      <c r="AD39" s="139">
        <f t="shared" si="131"/>
        <v>42865000</v>
      </c>
      <c r="AE39" s="139">
        <f t="shared" si="132"/>
        <v>32515000</v>
      </c>
      <c r="AF39" s="139">
        <f t="shared" ref="AF39:AF63" si="187">V39+Z39+AB39</f>
        <v>34465000</v>
      </c>
      <c r="AG39" s="636" t="s">
        <v>59</v>
      </c>
      <c r="AH39" s="598" t="s">
        <v>7</v>
      </c>
      <c r="AI39" s="29">
        <v>73561000</v>
      </c>
      <c r="AJ39" s="29">
        <v>73561000</v>
      </c>
      <c r="AK39" s="29">
        <v>82000000</v>
      </c>
      <c r="AL39" s="29">
        <v>82213574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17">
        <f t="shared" si="136"/>
        <v>73561000</v>
      </c>
      <c r="AT39" s="139">
        <f t="shared" si="137"/>
        <v>73561000</v>
      </c>
      <c r="AU39" s="139">
        <f t="shared" si="138"/>
        <v>82000000</v>
      </c>
      <c r="AV39" s="139">
        <f t="shared" ref="AV39:AV63" si="188">AL39+AP39+AR39</f>
        <v>82213574</v>
      </c>
      <c r="AW39" s="636" t="s">
        <v>59</v>
      </c>
      <c r="AX39" s="598" t="s">
        <v>7</v>
      </c>
      <c r="AY39" s="29">
        <v>160256000</v>
      </c>
      <c r="AZ39" s="29">
        <v>160256000</v>
      </c>
      <c r="BA39" s="29">
        <v>159900000</v>
      </c>
      <c r="BB39" s="29">
        <v>163132000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0</v>
      </c>
      <c r="BI39" s="17">
        <f t="shared" si="142"/>
        <v>160256000</v>
      </c>
      <c r="BJ39" s="139">
        <f t="shared" si="143"/>
        <v>160256000</v>
      </c>
      <c r="BK39" s="139">
        <f t="shared" si="144"/>
        <v>159900000</v>
      </c>
      <c r="BL39" s="139">
        <f t="shared" si="145"/>
        <v>163132000</v>
      </c>
      <c r="BM39" s="636" t="s">
        <v>59</v>
      </c>
      <c r="BN39" s="598" t="s">
        <v>7</v>
      </c>
      <c r="BO39" s="29">
        <v>117836000</v>
      </c>
      <c r="BP39" s="29">
        <v>117836000</v>
      </c>
      <c r="BQ39" s="29">
        <v>107500000</v>
      </c>
      <c r="BR39" s="29">
        <v>117836000</v>
      </c>
      <c r="BS39" s="29">
        <v>0</v>
      </c>
      <c r="BT39" s="29">
        <v>0</v>
      </c>
      <c r="BU39" s="29">
        <v>0</v>
      </c>
      <c r="BV39" s="29">
        <v>0</v>
      </c>
      <c r="BW39" s="29">
        <v>0</v>
      </c>
      <c r="BX39" s="29">
        <v>0</v>
      </c>
      <c r="BY39" s="17">
        <f t="shared" si="149"/>
        <v>117836000</v>
      </c>
      <c r="BZ39" s="139">
        <f t="shared" si="150"/>
        <v>117836000</v>
      </c>
      <c r="CA39" s="139">
        <f t="shared" si="151"/>
        <v>107500000</v>
      </c>
      <c r="CB39" s="139">
        <f t="shared" si="152"/>
        <v>117836000</v>
      </c>
      <c r="CC39" s="636" t="s">
        <v>59</v>
      </c>
      <c r="CD39" s="598" t="s">
        <v>7</v>
      </c>
      <c r="CE39" s="29">
        <v>24946000</v>
      </c>
      <c r="CF39" s="29">
        <v>24946000</v>
      </c>
      <c r="CG39" s="29">
        <v>25305000</v>
      </c>
      <c r="CH39" s="29">
        <v>25539685</v>
      </c>
      <c r="CI39" s="29">
        <v>0</v>
      </c>
      <c r="CJ39" s="29">
        <v>0</v>
      </c>
      <c r="CK39" s="29">
        <v>0</v>
      </c>
      <c r="CL39" s="29">
        <v>0</v>
      </c>
      <c r="CM39" s="29">
        <v>0</v>
      </c>
      <c r="CN39" s="29">
        <v>0</v>
      </c>
      <c r="CO39" s="17">
        <f t="shared" si="156"/>
        <v>24946000</v>
      </c>
      <c r="CP39" s="139">
        <f t="shared" si="157"/>
        <v>24946000</v>
      </c>
      <c r="CQ39" s="139">
        <f t="shared" si="158"/>
        <v>25305000</v>
      </c>
      <c r="CR39" s="139">
        <f t="shared" si="159"/>
        <v>25539685</v>
      </c>
      <c r="CS39" s="636" t="s">
        <v>59</v>
      </c>
      <c r="CT39" s="598" t="s">
        <v>7</v>
      </c>
      <c r="CU39" s="29">
        <v>17047000</v>
      </c>
      <c r="CV39" s="29">
        <v>17047000</v>
      </c>
      <c r="CW39" s="29">
        <f>17047000-52311-378</f>
        <v>16994311</v>
      </c>
      <c r="CX39" s="29">
        <v>17189872</v>
      </c>
      <c r="CY39" s="29">
        <v>0</v>
      </c>
      <c r="CZ39" s="29">
        <v>0</v>
      </c>
      <c r="DA39" s="29">
        <v>0</v>
      </c>
      <c r="DB39" s="29">
        <v>0</v>
      </c>
      <c r="DC39" s="29">
        <v>0</v>
      </c>
      <c r="DD39" s="29">
        <v>0</v>
      </c>
      <c r="DE39" s="134">
        <f t="shared" si="163"/>
        <v>17047000</v>
      </c>
      <c r="DF39" s="134">
        <f t="shared" si="164"/>
        <v>17047000</v>
      </c>
      <c r="DG39" s="134">
        <f t="shared" si="165"/>
        <v>16994311</v>
      </c>
      <c r="DH39" s="134">
        <f t="shared" si="166"/>
        <v>17189872</v>
      </c>
      <c r="DI39" s="636" t="s">
        <v>59</v>
      </c>
      <c r="DJ39" s="598" t="s">
        <v>7</v>
      </c>
      <c r="DK39" s="369">
        <v>38929000</v>
      </c>
      <c r="DL39" s="144">
        <f>38929000-17000000</f>
        <v>21929000</v>
      </c>
      <c r="DM39" s="369">
        <v>30905000</v>
      </c>
      <c r="DN39" s="369">
        <v>35677069</v>
      </c>
      <c r="DO39" s="369">
        <v>0</v>
      </c>
      <c r="DP39" s="369">
        <v>0</v>
      </c>
      <c r="DQ39" s="369">
        <v>0</v>
      </c>
      <c r="DR39" s="369">
        <v>0</v>
      </c>
      <c r="DS39" s="369">
        <v>0</v>
      </c>
      <c r="DT39" s="369">
        <v>0</v>
      </c>
      <c r="DU39" s="509">
        <f t="shared" si="170"/>
        <v>38929000</v>
      </c>
      <c r="DV39" s="134">
        <f t="shared" si="171"/>
        <v>21929000</v>
      </c>
      <c r="DW39" s="134">
        <f t="shared" si="172"/>
        <v>30905000</v>
      </c>
      <c r="DX39" s="134">
        <f t="shared" si="173"/>
        <v>35677069</v>
      </c>
      <c r="DY39" s="636" t="s">
        <v>59</v>
      </c>
      <c r="DZ39" s="598" t="s">
        <v>7</v>
      </c>
      <c r="EA39" s="96">
        <f t="shared" ref="EA39:EA63" si="189">+CU39+CE39+BO39+AY39+AI39+S39+C39+DK39</f>
        <v>738274000</v>
      </c>
      <c r="EB39" s="96">
        <f t="shared" si="174"/>
        <v>723314453</v>
      </c>
      <c r="EC39" s="96">
        <f t="shared" si="175"/>
        <v>743224311</v>
      </c>
      <c r="ED39" s="96">
        <f t="shared" si="176"/>
        <v>766197968</v>
      </c>
      <c r="EE39" s="96">
        <f t="shared" si="177"/>
        <v>0</v>
      </c>
      <c r="EF39" s="96">
        <f t="shared" si="178"/>
        <v>0</v>
      </c>
      <c r="EG39" s="96">
        <f t="shared" si="179"/>
        <v>0</v>
      </c>
      <c r="EH39" s="96">
        <f t="shared" si="180"/>
        <v>0</v>
      </c>
      <c r="EI39" s="96">
        <f t="shared" si="181"/>
        <v>0</v>
      </c>
      <c r="EJ39" s="96">
        <f t="shared" si="182"/>
        <v>0</v>
      </c>
      <c r="EK39" s="96">
        <f t="shared" si="183"/>
        <v>738274000</v>
      </c>
      <c r="EL39" s="96">
        <f t="shared" si="184"/>
        <v>723314453</v>
      </c>
      <c r="EM39" s="96">
        <f t="shared" si="185"/>
        <v>1006058311</v>
      </c>
      <c r="EN39" s="96">
        <f t="shared" si="186"/>
        <v>766197968</v>
      </c>
    </row>
    <row r="40" spans="1:144" x14ac:dyDescent="0.25">
      <c r="A40" s="636" t="s">
        <v>60</v>
      </c>
      <c r="B40" s="727" t="s">
        <v>107</v>
      </c>
      <c r="C40" s="369">
        <v>47036000</v>
      </c>
      <c r="D40" s="144">
        <v>47036000</v>
      </c>
      <c r="E40" s="369">
        <v>48300000</v>
      </c>
      <c r="F40" s="369">
        <v>48893012</v>
      </c>
      <c r="G40" s="369">
        <v>0</v>
      </c>
      <c r="H40" s="369">
        <v>0</v>
      </c>
      <c r="I40" s="369">
        <v>0</v>
      </c>
      <c r="J40" s="369">
        <v>0</v>
      </c>
      <c r="K40" s="369"/>
      <c r="L40" s="369">
        <v>0</v>
      </c>
      <c r="M40" s="168">
        <f t="shared" si="124"/>
        <v>47036000</v>
      </c>
      <c r="N40" s="168">
        <f t="shared" si="125"/>
        <v>47036000</v>
      </c>
      <c r="O40" s="168">
        <f t="shared" si="126"/>
        <v>95336000</v>
      </c>
      <c r="P40" s="168">
        <f t="shared" si="127"/>
        <v>48893012</v>
      </c>
      <c r="Q40" s="636" t="s">
        <v>60</v>
      </c>
      <c r="R40" s="727" t="s">
        <v>107</v>
      </c>
      <c r="S40" s="29">
        <v>7891000</v>
      </c>
      <c r="T40" s="144">
        <v>7891000</v>
      </c>
      <c r="U40" s="144">
        <v>6000000</v>
      </c>
      <c r="V40" s="29">
        <v>6591000</v>
      </c>
      <c r="W40" s="36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139">
        <f t="shared" si="130"/>
        <v>7891000</v>
      </c>
      <c r="AD40" s="139">
        <f t="shared" si="131"/>
        <v>7891000</v>
      </c>
      <c r="AE40" s="139">
        <f t="shared" si="132"/>
        <v>6000000</v>
      </c>
      <c r="AF40" s="139">
        <f t="shared" si="187"/>
        <v>6591000</v>
      </c>
      <c r="AG40" s="636" t="s">
        <v>60</v>
      </c>
      <c r="AH40" s="598" t="s">
        <v>107</v>
      </c>
      <c r="AI40" s="29">
        <v>13902000</v>
      </c>
      <c r="AJ40" s="29">
        <v>13902000</v>
      </c>
      <c r="AK40" s="144">
        <v>15100000</v>
      </c>
      <c r="AL40" s="29">
        <v>14949426</v>
      </c>
      <c r="AM40" s="29">
        <v>0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17">
        <f t="shared" si="136"/>
        <v>13902000</v>
      </c>
      <c r="AT40" s="139">
        <f t="shared" si="137"/>
        <v>13902000</v>
      </c>
      <c r="AU40" s="139">
        <f t="shared" si="138"/>
        <v>15100000</v>
      </c>
      <c r="AV40" s="139">
        <f t="shared" si="188"/>
        <v>14949426</v>
      </c>
      <c r="AW40" s="636" t="s">
        <v>60</v>
      </c>
      <c r="AX40" s="598" t="s">
        <v>107</v>
      </c>
      <c r="AY40" s="29">
        <v>32970000</v>
      </c>
      <c r="AZ40" s="29">
        <v>32970000</v>
      </c>
      <c r="BA40" s="29">
        <v>28800000</v>
      </c>
      <c r="BB40" s="29">
        <v>30094000</v>
      </c>
      <c r="BC40" s="29">
        <v>0</v>
      </c>
      <c r="BD40" s="29">
        <v>0</v>
      </c>
      <c r="BE40" s="29">
        <v>0</v>
      </c>
      <c r="BF40" s="29">
        <v>0</v>
      </c>
      <c r="BG40" s="29">
        <v>0</v>
      </c>
      <c r="BH40" s="29">
        <v>0</v>
      </c>
      <c r="BI40" s="17">
        <f t="shared" si="142"/>
        <v>32970000</v>
      </c>
      <c r="BJ40" s="139">
        <f t="shared" si="143"/>
        <v>32970000</v>
      </c>
      <c r="BK40" s="139">
        <f t="shared" si="144"/>
        <v>28800000</v>
      </c>
      <c r="BL40" s="139">
        <f t="shared" si="145"/>
        <v>30094000</v>
      </c>
      <c r="BM40" s="636" t="s">
        <v>60</v>
      </c>
      <c r="BN40" s="598" t="s">
        <v>107</v>
      </c>
      <c r="BO40" s="29">
        <v>21856000</v>
      </c>
      <c r="BP40" s="29">
        <v>21856000</v>
      </c>
      <c r="BQ40" s="29">
        <v>17800000</v>
      </c>
      <c r="BR40" s="29">
        <v>21856000</v>
      </c>
      <c r="BS40" s="29">
        <v>0</v>
      </c>
      <c r="BT40" s="29">
        <v>0</v>
      </c>
      <c r="BU40" s="29">
        <v>0</v>
      </c>
      <c r="BV40" s="29">
        <v>0</v>
      </c>
      <c r="BW40" s="29">
        <v>0</v>
      </c>
      <c r="BX40" s="29">
        <v>0</v>
      </c>
      <c r="BY40" s="17">
        <f t="shared" si="149"/>
        <v>21856000</v>
      </c>
      <c r="BZ40" s="139">
        <f t="shared" si="150"/>
        <v>21856000</v>
      </c>
      <c r="CA40" s="139">
        <f t="shared" si="151"/>
        <v>17800000</v>
      </c>
      <c r="CB40" s="139">
        <f t="shared" si="152"/>
        <v>21856000</v>
      </c>
      <c r="CC40" s="636" t="s">
        <v>60</v>
      </c>
      <c r="CD40" s="598" t="s">
        <v>107</v>
      </c>
      <c r="CE40" s="29">
        <v>4568000</v>
      </c>
      <c r="CF40" s="29">
        <v>4568000</v>
      </c>
      <c r="CG40" s="29">
        <v>3880000</v>
      </c>
      <c r="CH40" s="29">
        <v>3974315</v>
      </c>
      <c r="CI40" s="29">
        <v>0</v>
      </c>
      <c r="CJ40" s="29">
        <v>0</v>
      </c>
      <c r="CK40" s="29">
        <v>0</v>
      </c>
      <c r="CL40" s="29">
        <v>0</v>
      </c>
      <c r="CM40" s="29">
        <v>0</v>
      </c>
      <c r="CN40" s="29">
        <v>0</v>
      </c>
      <c r="CO40" s="17">
        <f t="shared" si="156"/>
        <v>4568000</v>
      </c>
      <c r="CP40" s="139">
        <f t="shared" si="157"/>
        <v>4568000</v>
      </c>
      <c r="CQ40" s="139">
        <f t="shared" si="158"/>
        <v>3880000</v>
      </c>
      <c r="CR40" s="139">
        <f t="shared" si="159"/>
        <v>3974315</v>
      </c>
      <c r="CS40" s="636" t="s">
        <v>60</v>
      </c>
      <c r="CT40" s="598" t="s">
        <v>107</v>
      </c>
      <c r="CU40" s="29">
        <v>3088000</v>
      </c>
      <c r="CV40" s="29">
        <v>3088000</v>
      </c>
      <c r="CW40" s="29">
        <v>2850000</v>
      </c>
      <c r="CX40" s="29">
        <v>2945128</v>
      </c>
      <c r="CY40" s="232">
        <v>0</v>
      </c>
      <c r="CZ40" s="232">
        <v>0</v>
      </c>
      <c r="DA40" s="232">
        <v>0</v>
      </c>
      <c r="DB40" s="232">
        <v>0</v>
      </c>
      <c r="DC40" s="29">
        <v>0</v>
      </c>
      <c r="DD40" s="29">
        <v>0</v>
      </c>
      <c r="DE40" s="134">
        <f t="shared" si="163"/>
        <v>3088000</v>
      </c>
      <c r="DF40" s="134">
        <f t="shared" si="164"/>
        <v>3088000</v>
      </c>
      <c r="DG40" s="134">
        <f t="shared" si="165"/>
        <v>2850000</v>
      </c>
      <c r="DH40" s="134">
        <f t="shared" si="166"/>
        <v>2945128</v>
      </c>
      <c r="DI40" s="636" t="s">
        <v>60</v>
      </c>
      <c r="DJ40" s="598" t="s">
        <v>107</v>
      </c>
      <c r="DK40" s="369">
        <v>6877000</v>
      </c>
      <c r="DL40" s="144">
        <f>6877000-3000000</f>
        <v>3877000</v>
      </c>
      <c r="DM40" s="369">
        <v>4370081</v>
      </c>
      <c r="DN40" s="369">
        <v>4363321</v>
      </c>
      <c r="DO40" s="510">
        <v>0</v>
      </c>
      <c r="DP40" s="510">
        <v>0</v>
      </c>
      <c r="DQ40" s="510">
        <v>0</v>
      </c>
      <c r="DR40" s="510">
        <v>0</v>
      </c>
      <c r="DS40" s="369">
        <v>0</v>
      </c>
      <c r="DT40" s="369">
        <v>0</v>
      </c>
      <c r="DU40" s="509">
        <f t="shared" si="170"/>
        <v>6877000</v>
      </c>
      <c r="DV40" s="134">
        <f t="shared" si="171"/>
        <v>3877000</v>
      </c>
      <c r="DW40" s="134">
        <f t="shared" si="172"/>
        <v>4370081</v>
      </c>
      <c r="DX40" s="134">
        <f t="shared" si="173"/>
        <v>4363321</v>
      </c>
      <c r="DY40" s="636" t="s">
        <v>60</v>
      </c>
      <c r="DZ40" s="598" t="s">
        <v>107</v>
      </c>
      <c r="EA40" s="96">
        <f t="shared" si="189"/>
        <v>138188000</v>
      </c>
      <c r="EB40" s="96">
        <f t="shared" si="174"/>
        <v>135188000</v>
      </c>
      <c r="EC40" s="96">
        <f t="shared" si="175"/>
        <v>127100081</v>
      </c>
      <c r="ED40" s="96">
        <f t="shared" si="176"/>
        <v>133666202</v>
      </c>
      <c r="EE40" s="96">
        <f t="shared" si="177"/>
        <v>0</v>
      </c>
      <c r="EF40" s="96">
        <f t="shared" si="178"/>
        <v>0</v>
      </c>
      <c r="EG40" s="96">
        <f t="shared" si="179"/>
        <v>0</v>
      </c>
      <c r="EH40" s="96">
        <f t="shared" si="180"/>
        <v>0</v>
      </c>
      <c r="EI40" s="96">
        <f t="shared" si="181"/>
        <v>0</v>
      </c>
      <c r="EJ40" s="96">
        <f t="shared" si="182"/>
        <v>0</v>
      </c>
      <c r="EK40" s="96">
        <f t="shared" si="183"/>
        <v>138188000</v>
      </c>
      <c r="EL40" s="96">
        <f t="shared" si="184"/>
        <v>135188000</v>
      </c>
      <c r="EM40" s="96">
        <f t="shared" si="185"/>
        <v>174136081</v>
      </c>
      <c r="EN40" s="96">
        <f t="shared" si="186"/>
        <v>133666202</v>
      </c>
    </row>
    <row r="41" spans="1:144" x14ac:dyDescent="0.25">
      <c r="A41" s="636" t="s">
        <v>61</v>
      </c>
      <c r="B41" s="727" t="s">
        <v>108</v>
      </c>
      <c r="C41" s="369">
        <v>76750000</v>
      </c>
      <c r="D41" s="144">
        <f>77870000+9000000</f>
        <v>86870000</v>
      </c>
      <c r="E41" s="369">
        <v>91794675</v>
      </c>
      <c r="F41" s="369">
        <v>91771410</v>
      </c>
      <c r="G41" s="369">
        <v>0</v>
      </c>
      <c r="H41" s="369">
        <v>0</v>
      </c>
      <c r="I41" s="369">
        <v>0</v>
      </c>
      <c r="J41" s="369">
        <v>0</v>
      </c>
      <c r="K41" s="369"/>
      <c r="L41" s="369">
        <v>0</v>
      </c>
      <c r="M41" s="168">
        <f t="shared" si="124"/>
        <v>76750000</v>
      </c>
      <c r="N41" s="168">
        <f t="shared" si="125"/>
        <v>86870000</v>
      </c>
      <c r="O41" s="168">
        <f t="shared" si="126"/>
        <v>168544675</v>
      </c>
      <c r="P41" s="168">
        <f t="shared" si="127"/>
        <v>91771410</v>
      </c>
      <c r="Q41" s="636" t="s">
        <v>61</v>
      </c>
      <c r="R41" s="727" t="s">
        <v>108</v>
      </c>
      <c r="S41" s="29">
        <v>14281000</v>
      </c>
      <c r="T41" s="144">
        <f>13508300+30000</f>
        <v>13538300</v>
      </c>
      <c r="U41" s="144">
        <f>13508300+30000+131-2800000</f>
        <v>10738431</v>
      </c>
      <c r="V41" s="29">
        <v>13523307</v>
      </c>
      <c r="W41" s="369">
        <v>0</v>
      </c>
      <c r="X41" s="29">
        <v>0</v>
      </c>
      <c r="Y41" s="29">
        <v>0</v>
      </c>
      <c r="Z41" s="29">
        <v>0</v>
      </c>
      <c r="AA41" s="29">
        <v>0</v>
      </c>
      <c r="AB41" s="29">
        <v>0</v>
      </c>
      <c r="AC41" s="139">
        <f t="shared" si="130"/>
        <v>14281000</v>
      </c>
      <c r="AD41" s="139">
        <f t="shared" si="131"/>
        <v>13538300</v>
      </c>
      <c r="AE41" s="139">
        <f t="shared" si="132"/>
        <v>10738431</v>
      </c>
      <c r="AF41" s="139">
        <f t="shared" si="187"/>
        <v>13523307</v>
      </c>
      <c r="AG41" s="636" t="s">
        <v>61</v>
      </c>
      <c r="AH41" s="598" t="s">
        <v>108</v>
      </c>
      <c r="AI41" s="29">
        <v>21048000</v>
      </c>
      <c r="AJ41" s="29">
        <f>20988000+85000</f>
        <v>21073000</v>
      </c>
      <c r="AK41" s="29">
        <v>20755323</v>
      </c>
      <c r="AL41" s="29">
        <v>21152460</v>
      </c>
      <c r="AM41" s="29">
        <v>0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17">
        <f t="shared" si="136"/>
        <v>21048000</v>
      </c>
      <c r="AT41" s="139">
        <f t="shared" si="137"/>
        <v>21073000</v>
      </c>
      <c r="AU41" s="139">
        <f t="shared" si="138"/>
        <v>20755323</v>
      </c>
      <c r="AV41" s="139">
        <f t="shared" si="188"/>
        <v>21152460</v>
      </c>
      <c r="AW41" s="636" t="s">
        <v>61</v>
      </c>
      <c r="AX41" s="598" t="s">
        <v>108</v>
      </c>
      <c r="AY41" s="29">
        <v>63521000</v>
      </c>
      <c r="AZ41" s="29">
        <f>63131000+1674172</f>
        <v>64805172</v>
      </c>
      <c r="BA41" s="29">
        <v>59735611</v>
      </c>
      <c r="BB41" s="29">
        <v>64230872</v>
      </c>
      <c r="BC41" s="29">
        <v>0</v>
      </c>
      <c r="BD41" s="29">
        <v>0</v>
      </c>
      <c r="BE41" s="29">
        <v>0</v>
      </c>
      <c r="BF41" s="29">
        <v>0</v>
      </c>
      <c r="BG41" s="29">
        <v>0</v>
      </c>
      <c r="BH41" s="29">
        <v>0</v>
      </c>
      <c r="BI41" s="17">
        <f t="shared" si="142"/>
        <v>63521000</v>
      </c>
      <c r="BJ41" s="139">
        <f t="shared" si="143"/>
        <v>64805172</v>
      </c>
      <c r="BK41" s="139">
        <f t="shared" si="144"/>
        <v>59735611</v>
      </c>
      <c r="BL41" s="139">
        <f t="shared" si="145"/>
        <v>64230872</v>
      </c>
      <c r="BM41" s="636" t="s">
        <v>61</v>
      </c>
      <c r="BN41" s="598" t="s">
        <v>108</v>
      </c>
      <c r="BO41" s="29">
        <v>40341000</v>
      </c>
      <c r="BP41" s="29">
        <f>40231000+1994030</f>
        <v>42225030</v>
      </c>
      <c r="BQ41" s="29">
        <f>37000030+363</f>
        <v>37000393</v>
      </c>
      <c r="BR41" s="29">
        <v>41901006</v>
      </c>
      <c r="BS41" s="29">
        <v>0</v>
      </c>
      <c r="BT41" s="29">
        <v>0</v>
      </c>
      <c r="BU41" s="29">
        <v>0</v>
      </c>
      <c r="BV41" s="29">
        <v>0</v>
      </c>
      <c r="BW41" s="29">
        <v>0</v>
      </c>
      <c r="BX41" s="29">
        <v>0</v>
      </c>
      <c r="BY41" s="17">
        <f t="shared" si="149"/>
        <v>40341000</v>
      </c>
      <c r="BZ41" s="139">
        <f t="shared" si="150"/>
        <v>42225030</v>
      </c>
      <c r="CA41" s="139">
        <f t="shared" si="151"/>
        <v>37000393</v>
      </c>
      <c r="CB41" s="139">
        <f t="shared" si="152"/>
        <v>41901006</v>
      </c>
      <c r="CC41" s="636" t="s">
        <v>61</v>
      </c>
      <c r="CD41" s="598" t="s">
        <v>108</v>
      </c>
      <c r="CE41" s="29">
        <v>19615000</v>
      </c>
      <c r="CF41" s="29">
        <f>19526100+680894</f>
        <v>20206994</v>
      </c>
      <c r="CG41" s="29">
        <f>17988721-63</f>
        <v>17988658</v>
      </c>
      <c r="CH41" s="29">
        <v>18802499</v>
      </c>
      <c r="CI41" s="29">
        <v>0</v>
      </c>
      <c r="CJ41" s="29">
        <v>0</v>
      </c>
      <c r="CK41" s="29">
        <v>0</v>
      </c>
      <c r="CL41" s="29">
        <v>0</v>
      </c>
      <c r="CM41" s="29">
        <v>0</v>
      </c>
      <c r="CN41" s="29">
        <v>0</v>
      </c>
      <c r="CO41" s="17">
        <f t="shared" si="156"/>
        <v>19615000</v>
      </c>
      <c r="CP41" s="139">
        <f t="shared" si="157"/>
        <v>20206994</v>
      </c>
      <c r="CQ41" s="139">
        <f t="shared" si="158"/>
        <v>17988658</v>
      </c>
      <c r="CR41" s="139">
        <f t="shared" si="159"/>
        <v>18802499</v>
      </c>
      <c r="CS41" s="636" t="s">
        <v>61</v>
      </c>
      <c r="CT41" s="598" t="s">
        <v>108</v>
      </c>
      <c r="CU41" s="29">
        <v>3043000</v>
      </c>
      <c r="CV41" s="29">
        <f>3169939+50000</f>
        <v>3219939</v>
      </c>
      <c r="CW41" s="29">
        <v>2514000</v>
      </c>
      <c r="CX41" s="29">
        <v>2514540</v>
      </c>
      <c r="CY41" s="29">
        <v>0</v>
      </c>
      <c r="CZ41" s="29">
        <v>0</v>
      </c>
      <c r="DA41" s="29">
        <v>0</v>
      </c>
      <c r="DB41" s="29">
        <v>0</v>
      </c>
      <c r="DC41" s="29">
        <v>0</v>
      </c>
      <c r="DD41" s="29">
        <v>0</v>
      </c>
      <c r="DE41" s="134">
        <f t="shared" si="163"/>
        <v>3043000</v>
      </c>
      <c r="DF41" s="134">
        <f t="shared" si="164"/>
        <v>3219939</v>
      </c>
      <c r="DG41" s="134">
        <f t="shared" si="165"/>
        <v>2514000</v>
      </c>
      <c r="DH41" s="134">
        <f t="shared" si="166"/>
        <v>2514540</v>
      </c>
      <c r="DI41" s="636" t="s">
        <v>61</v>
      </c>
      <c r="DJ41" s="598" t="s">
        <v>108</v>
      </c>
      <c r="DK41" s="369">
        <v>16464000</v>
      </c>
      <c r="DL41" s="144">
        <f>16388000+96000</f>
        <v>16484000</v>
      </c>
      <c r="DM41" s="369">
        <v>28565000</v>
      </c>
      <c r="DN41" s="369">
        <v>33835778</v>
      </c>
      <c r="DO41" s="369">
        <v>0</v>
      </c>
      <c r="DP41" s="369">
        <v>0</v>
      </c>
      <c r="DQ41" s="369">
        <v>0</v>
      </c>
      <c r="DR41" s="369">
        <v>0</v>
      </c>
      <c r="DS41" s="369">
        <v>0</v>
      </c>
      <c r="DT41" s="369">
        <v>0</v>
      </c>
      <c r="DU41" s="509">
        <f t="shared" si="170"/>
        <v>16464000</v>
      </c>
      <c r="DV41" s="134">
        <f t="shared" si="171"/>
        <v>16484000</v>
      </c>
      <c r="DW41" s="134">
        <f t="shared" si="172"/>
        <v>28565000</v>
      </c>
      <c r="DX41" s="134">
        <f t="shared" si="173"/>
        <v>33835778</v>
      </c>
      <c r="DY41" s="636" t="s">
        <v>61</v>
      </c>
      <c r="DZ41" s="598" t="s">
        <v>108</v>
      </c>
      <c r="EA41" s="96">
        <f t="shared" si="189"/>
        <v>255063000</v>
      </c>
      <c r="EB41" s="96">
        <f t="shared" si="174"/>
        <v>268422435</v>
      </c>
      <c r="EC41" s="96">
        <f t="shared" si="175"/>
        <v>269092091</v>
      </c>
      <c r="ED41" s="96">
        <f t="shared" si="176"/>
        <v>287731872</v>
      </c>
      <c r="EE41" s="96">
        <f t="shared" si="177"/>
        <v>0</v>
      </c>
      <c r="EF41" s="96">
        <f t="shared" si="178"/>
        <v>0</v>
      </c>
      <c r="EG41" s="96">
        <f t="shared" si="179"/>
        <v>0</v>
      </c>
      <c r="EH41" s="96">
        <f t="shared" si="180"/>
        <v>0</v>
      </c>
      <c r="EI41" s="96">
        <f t="shared" si="181"/>
        <v>0</v>
      </c>
      <c r="EJ41" s="96">
        <f t="shared" si="182"/>
        <v>0</v>
      </c>
      <c r="EK41" s="96">
        <f t="shared" si="183"/>
        <v>255063000</v>
      </c>
      <c r="EL41" s="96">
        <f t="shared" si="184"/>
        <v>268422435</v>
      </c>
      <c r="EM41" s="96">
        <f t="shared" si="185"/>
        <v>345842091</v>
      </c>
      <c r="EN41" s="96">
        <f t="shared" si="186"/>
        <v>287731872</v>
      </c>
    </row>
    <row r="42" spans="1:144" s="12" customFormat="1" x14ac:dyDescent="0.25">
      <c r="A42" s="636" t="s">
        <v>62</v>
      </c>
      <c r="B42" s="727" t="s">
        <v>109</v>
      </c>
      <c r="C42" s="370">
        <v>0</v>
      </c>
      <c r="D42" s="144">
        <v>0</v>
      </c>
      <c r="E42" s="370">
        <v>0</v>
      </c>
      <c r="F42" s="370">
        <v>0</v>
      </c>
      <c r="G42" s="370">
        <v>0</v>
      </c>
      <c r="H42" s="370">
        <v>0</v>
      </c>
      <c r="I42" s="370">
        <v>0</v>
      </c>
      <c r="J42" s="370">
        <v>0</v>
      </c>
      <c r="K42" s="370"/>
      <c r="L42" s="370">
        <v>0</v>
      </c>
      <c r="M42" s="168">
        <f t="shared" si="124"/>
        <v>0</v>
      </c>
      <c r="N42" s="168">
        <f t="shared" si="125"/>
        <v>0</v>
      </c>
      <c r="O42" s="168">
        <f t="shared" si="126"/>
        <v>0</v>
      </c>
      <c r="P42" s="168">
        <f t="shared" si="127"/>
        <v>0</v>
      </c>
      <c r="Q42" s="636" t="s">
        <v>62</v>
      </c>
      <c r="R42" s="727" t="s">
        <v>109</v>
      </c>
      <c r="S42" s="144">
        <v>0</v>
      </c>
      <c r="T42" s="144">
        <v>0</v>
      </c>
      <c r="U42" s="144">
        <v>0</v>
      </c>
      <c r="V42" s="144">
        <v>0</v>
      </c>
      <c r="W42" s="370">
        <v>0</v>
      </c>
      <c r="X42" s="144">
        <v>0</v>
      </c>
      <c r="Y42" s="144">
        <v>0</v>
      </c>
      <c r="Z42" s="144">
        <v>0</v>
      </c>
      <c r="AA42" s="144">
        <v>0</v>
      </c>
      <c r="AB42" s="144">
        <v>0</v>
      </c>
      <c r="AC42" s="139">
        <f t="shared" si="130"/>
        <v>0</v>
      </c>
      <c r="AD42" s="139">
        <f t="shared" si="131"/>
        <v>0</v>
      </c>
      <c r="AE42" s="139">
        <f t="shared" si="132"/>
        <v>0</v>
      </c>
      <c r="AF42" s="139">
        <f t="shared" si="187"/>
        <v>0</v>
      </c>
      <c r="AG42" s="636" t="s">
        <v>62</v>
      </c>
      <c r="AH42" s="598" t="s">
        <v>109</v>
      </c>
      <c r="AI42" s="144">
        <v>0</v>
      </c>
      <c r="AJ42" s="144">
        <v>0</v>
      </c>
      <c r="AK42" s="144">
        <v>0</v>
      </c>
      <c r="AL42" s="144"/>
      <c r="AM42" s="144">
        <v>0</v>
      </c>
      <c r="AN42" s="144">
        <v>0</v>
      </c>
      <c r="AO42" s="144">
        <v>0</v>
      </c>
      <c r="AP42" s="144">
        <v>0</v>
      </c>
      <c r="AQ42" s="144">
        <v>0</v>
      </c>
      <c r="AR42" s="144">
        <v>0</v>
      </c>
      <c r="AS42" s="139">
        <f t="shared" si="136"/>
        <v>0</v>
      </c>
      <c r="AT42" s="139">
        <f t="shared" si="137"/>
        <v>0</v>
      </c>
      <c r="AU42" s="139">
        <f t="shared" si="138"/>
        <v>0</v>
      </c>
      <c r="AV42" s="139">
        <f t="shared" si="188"/>
        <v>0</v>
      </c>
      <c r="AW42" s="636" t="s">
        <v>62</v>
      </c>
      <c r="AX42" s="598" t="s">
        <v>109</v>
      </c>
      <c r="AY42" s="144">
        <v>0</v>
      </c>
      <c r="AZ42" s="144">
        <v>0</v>
      </c>
      <c r="BA42" s="144">
        <v>0</v>
      </c>
      <c r="BB42" s="144">
        <v>0</v>
      </c>
      <c r="BC42" s="144">
        <v>0</v>
      </c>
      <c r="BD42" s="144">
        <v>0</v>
      </c>
      <c r="BE42" s="144">
        <v>0</v>
      </c>
      <c r="BF42" s="144">
        <v>0</v>
      </c>
      <c r="BG42" s="144">
        <v>0</v>
      </c>
      <c r="BH42" s="144">
        <v>0</v>
      </c>
      <c r="BI42" s="139">
        <f t="shared" si="142"/>
        <v>0</v>
      </c>
      <c r="BJ42" s="139">
        <f t="shared" si="143"/>
        <v>0</v>
      </c>
      <c r="BK42" s="139">
        <f t="shared" si="144"/>
        <v>0</v>
      </c>
      <c r="BL42" s="139">
        <f t="shared" si="145"/>
        <v>0</v>
      </c>
      <c r="BM42" s="636" t="s">
        <v>62</v>
      </c>
      <c r="BN42" s="598" t="s">
        <v>109</v>
      </c>
      <c r="BO42" s="144">
        <v>0</v>
      </c>
      <c r="BP42" s="144">
        <v>0</v>
      </c>
      <c r="BQ42" s="144">
        <v>0</v>
      </c>
      <c r="BR42" s="144"/>
      <c r="BS42" s="144">
        <v>0</v>
      </c>
      <c r="BT42" s="144">
        <v>0</v>
      </c>
      <c r="BU42" s="144">
        <v>0</v>
      </c>
      <c r="BV42" s="144">
        <v>0</v>
      </c>
      <c r="BW42" s="144">
        <v>0</v>
      </c>
      <c r="BX42" s="144">
        <v>0</v>
      </c>
      <c r="BY42" s="139">
        <f t="shared" si="149"/>
        <v>0</v>
      </c>
      <c r="BZ42" s="139">
        <f t="shared" si="150"/>
        <v>0</v>
      </c>
      <c r="CA42" s="139">
        <f t="shared" si="151"/>
        <v>0</v>
      </c>
      <c r="CB42" s="139">
        <f t="shared" si="152"/>
        <v>0</v>
      </c>
      <c r="CC42" s="636" t="s">
        <v>62</v>
      </c>
      <c r="CD42" s="598" t="s">
        <v>109</v>
      </c>
      <c r="CE42" s="144">
        <v>0</v>
      </c>
      <c r="CF42" s="144">
        <v>0</v>
      </c>
      <c r="CG42" s="144">
        <v>0</v>
      </c>
      <c r="CH42" s="144">
        <v>0</v>
      </c>
      <c r="CI42" s="144">
        <v>0</v>
      </c>
      <c r="CJ42" s="144">
        <v>0</v>
      </c>
      <c r="CK42" s="144">
        <v>0</v>
      </c>
      <c r="CL42" s="144">
        <v>0</v>
      </c>
      <c r="CM42" s="144">
        <v>0</v>
      </c>
      <c r="CN42" s="144">
        <v>0</v>
      </c>
      <c r="CO42" s="139">
        <f t="shared" si="156"/>
        <v>0</v>
      </c>
      <c r="CP42" s="139">
        <f t="shared" si="157"/>
        <v>0</v>
      </c>
      <c r="CQ42" s="139">
        <f t="shared" si="158"/>
        <v>0</v>
      </c>
      <c r="CR42" s="139">
        <f t="shared" si="159"/>
        <v>0</v>
      </c>
      <c r="CS42" s="636" t="s">
        <v>62</v>
      </c>
      <c r="CT42" s="598" t="s">
        <v>109</v>
      </c>
      <c r="CU42" s="144">
        <v>0</v>
      </c>
      <c r="CV42" s="144">
        <v>0</v>
      </c>
      <c r="CW42" s="144">
        <v>0</v>
      </c>
      <c r="CX42" s="144">
        <v>0</v>
      </c>
      <c r="CY42" s="144">
        <v>0</v>
      </c>
      <c r="CZ42" s="144">
        <v>0</v>
      </c>
      <c r="DA42" s="144">
        <v>0</v>
      </c>
      <c r="DB42" s="144">
        <v>0</v>
      </c>
      <c r="DC42" s="144">
        <v>0</v>
      </c>
      <c r="DD42" s="144">
        <v>0</v>
      </c>
      <c r="DE42" s="134">
        <f t="shared" si="163"/>
        <v>0</v>
      </c>
      <c r="DF42" s="134">
        <f t="shared" si="164"/>
        <v>0</v>
      </c>
      <c r="DG42" s="134">
        <f t="shared" si="165"/>
        <v>0</v>
      </c>
      <c r="DH42" s="134">
        <f t="shared" si="166"/>
        <v>0</v>
      </c>
      <c r="DI42" s="636" t="s">
        <v>62</v>
      </c>
      <c r="DJ42" s="598" t="s">
        <v>109</v>
      </c>
      <c r="DK42" s="370">
        <v>0</v>
      </c>
      <c r="DL42" s="144">
        <v>0</v>
      </c>
      <c r="DM42" s="370">
        <v>0</v>
      </c>
      <c r="DN42" s="370"/>
      <c r="DO42" s="370">
        <v>0</v>
      </c>
      <c r="DP42" s="370">
        <v>0</v>
      </c>
      <c r="DQ42" s="370">
        <v>0</v>
      </c>
      <c r="DR42" s="370">
        <v>0</v>
      </c>
      <c r="DS42" s="370">
        <v>0</v>
      </c>
      <c r="DT42" s="370">
        <v>0</v>
      </c>
      <c r="DU42" s="509">
        <f t="shared" si="170"/>
        <v>0</v>
      </c>
      <c r="DV42" s="134">
        <f t="shared" si="171"/>
        <v>0</v>
      </c>
      <c r="DW42" s="134">
        <f t="shared" si="172"/>
        <v>0</v>
      </c>
      <c r="DX42" s="134">
        <f t="shared" si="173"/>
        <v>0</v>
      </c>
      <c r="DY42" s="636" t="s">
        <v>62</v>
      </c>
      <c r="DZ42" s="598" t="s">
        <v>109</v>
      </c>
      <c r="EA42" s="794">
        <f t="shared" si="189"/>
        <v>0</v>
      </c>
      <c r="EB42" s="794">
        <f t="shared" si="174"/>
        <v>0</v>
      </c>
      <c r="EC42" s="794">
        <f t="shared" si="175"/>
        <v>0</v>
      </c>
      <c r="ED42" s="794">
        <f t="shared" si="176"/>
        <v>0</v>
      </c>
      <c r="EE42" s="794">
        <f t="shared" si="177"/>
        <v>0</v>
      </c>
      <c r="EF42" s="794">
        <f t="shared" si="178"/>
        <v>0</v>
      </c>
      <c r="EG42" s="794">
        <f t="shared" si="179"/>
        <v>0</v>
      </c>
      <c r="EH42" s="794">
        <f t="shared" si="180"/>
        <v>0</v>
      </c>
      <c r="EI42" s="794">
        <f t="shared" si="181"/>
        <v>0</v>
      </c>
      <c r="EJ42" s="794">
        <f t="shared" si="182"/>
        <v>0</v>
      </c>
      <c r="EK42" s="794">
        <f t="shared" si="183"/>
        <v>0</v>
      </c>
      <c r="EL42" s="794">
        <f t="shared" si="184"/>
        <v>0</v>
      </c>
      <c r="EM42" s="794">
        <f t="shared" si="185"/>
        <v>0</v>
      </c>
      <c r="EN42" s="794">
        <f t="shared" si="186"/>
        <v>0</v>
      </c>
    </row>
    <row r="43" spans="1:144" x14ac:dyDescent="0.25">
      <c r="A43" s="637" t="s">
        <v>63</v>
      </c>
      <c r="B43" s="728" t="s">
        <v>110</v>
      </c>
      <c r="C43" s="369">
        <v>0</v>
      </c>
      <c r="D43" s="508">
        <v>13563325</v>
      </c>
      <c r="E43" s="507">
        <v>13563325</v>
      </c>
      <c r="F43" s="507">
        <f>+E43</f>
        <v>13563325</v>
      </c>
      <c r="G43" s="369">
        <v>0</v>
      </c>
      <c r="H43" s="369">
        <v>0</v>
      </c>
      <c r="I43" s="369">
        <v>0</v>
      </c>
      <c r="J43" s="369">
        <v>0</v>
      </c>
      <c r="K43" s="369"/>
      <c r="L43" s="369">
        <v>0</v>
      </c>
      <c r="M43" s="168">
        <f t="shared" si="124"/>
        <v>0</v>
      </c>
      <c r="N43" s="168">
        <f t="shared" si="125"/>
        <v>13563325</v>
      </c>
      <c r="O43" s="168">
        <f t="shared" si="126"/>
        <v>13563325</v>
      </c>
      <c r="P43" s="168">
        <f t="shared" si="127"/>
        <v>13563325</v>
      </c>
      <c r="Q43" s="637" t="s">
        <v>63</v>
      </c>
      <c r="R43" s="728" t="s">
        <v>110</v>
      </c>
      <c r="S43" s="29">
        <v>0</v>
      </c>
      <c r="T43" s="508">
        <v>2105869</v>
      </c>
      <c r="U43" s="508">
        <v>2105869</v>
      </c>
      <c r="V43" s="29">
        <f>+U43</f>
        <v>2105869</v>
      </c>
      <c r="W43" s="36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139">
        <f t="shared" si="130"/>
        <v>0</v>
      </c>
      <c r="AD43" s="139">
        <f t="shared" si="131"/>
        <v>2105869</v>
      </c>
      <c r="AE43" s="139">
        <f t="shared" si="132"/>
        <v>2105869</v>
      </c>
      <c r="AF43" s="139">
        <f t="shared" si="187"/>
        <v>2105869</v>
      </c>
      <c r="AG43" s="637" t="s">
        <v>63</v>
      </c>
      <c r="AH43" s="599" t="s">
        <v>110</v>
      </c>
      <c r="AI43" s="29">
        <v>0</v>
      </c>
      <c r="AJ43" s="508">
        <v>1546677</v>
      </c>
      <c r="AK43" s="508">
        <v>1546677</v>
      </c>
      <c r="AL43" s="508">
        <f>+AK43</f>
        <v>1546677</v>
      </c>
      <c r="AM43" s="29">
        <v>0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17">
        <f t="shared" si="136"/>
        <v>0</v>
      </c>
      <c r="AT43" s="139">
        <f t="shared" si="137"/>
        <v>1546677</v>
      </c>
      <c r="AU43" s="139">
        <f t="shared" si="138"/>
        <v>1546677</v>
      </c>
      <c r="AV43" s="139">
        <f t="shared" si="188"/>
        <v>1546677</v>
      </c>
      <c r="AW43" s="637" t="s">
        <v>63</v>
      </c>
      <c r="AX43" s="599" t="s">
        <v>110</v>
      </c>
      <c r="AY43" s="29">
        <v>0</v>
      </c>
      <c r="AZ43" s="508">
        <v>1824389</v>
      </c>
      <c r="BA43" s="508">
        <v>1824389</v>
      </c>
      <c r="BB43" s="508">
        <v>1824389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0</v>
      </c>
      <c r="BI43" s="17">
        <f t="shared" si="142"/>
        <v>0</v>
      </c>
      <c r="BJ43" s="139">
        <f t="shared" si="143"/>
        <v>1824389</v>
      </c>
      <c r="BK43" s="139">
        <f t="shared" si="144"/>
        <v>1824389</v>
      </c>
      <c r="BL43" s="139">
        <f t="shared" si="145"/>
        <v>1824389</v>
      </c>
      <c r="BM43" s="637" t="s">
        <v>63</v>
      </c>
      <c r="BN43" s="599" t="s">
        <v>110</v>
      </c>
      <c r="BO43" s="29">
        <v>0</v>
      </c>
      <c r="BP43" s="508">
        <v>68607</v>
      </c>
      <c r="BQ43" s="508">
        <v>68607</v>
      </c>
      <c r="BR43" s="508">
        <v>68607</v>
      </c>
      <c r="BS43" s="29">
        <v>0</v>
      </c>
      <c r="BT43" s="29">
        <v>0</v>
      </c>
      <c r="BU43" s="29">
        <v>0</v>
      </c>
      <c r="BV43" s="29">
        <v>0</v>
      </c>
      <c r="BW43" s="29">
        <v>0</v>
      </c>
      <c r="BX43" s="29">
        <v>0</v>
      </c>
      <c r="BY43" s="17">
        <f t="shared" si="149"/>
        <v>0</v>
      </c>
      <c r="BZ43" s="139">
        <f t="shared" si="150"/>
        <v>68607</v>
      </c>
      <c r="CA43" s="139">
        <f t="shared" si="151"/>
        <v>68607</v>
      </c>
      <c r="CB43" s="139">
        <f t="shared" si="152"/>
        <v>68607</v>
      </c>
      <c r="CC43" s="637" t="s">
        <v>63</v>
      </c>
      <c r="CD43" s="599" t="s">
        <v>110</v>
      </c>
      <c r="CE43" s="29">
        <v>0</v>
      </c>
      <c r="CF43" s="144">
        <v>486342</v>
      </c>
      <c r="CG43" s="144">
        <v>486342</v>
      </c>
      <c r="CH43" s="144">
        <f>+CG43</f>
        <v>486342</v>
      </c>
      <c r="CI43" s="29">
        <v>0</v>
      </c>
      <c r="CJ43" s="29">
        <v>0</v>
      </c>
      <c r="CK43" s="29">
        <v>0</v>
      </c>
      <c r="CL43" s="29">
        <v>0</v>
      </c>
      <c r="CM43" s="29">
        <v>0</v>
      </c>
      <c r="CN43" s="29">
        <v>0</v>
      </c>
      <c r="CO43" s="17">
        <f t="shared" si="156"/>
        <v>0</v>
      </c>
      <c r="CP43" s="139">
        <f t="shared" si="157"/>
        <v>486342</v>
      </c>
      <c r="CQ43" s="139">
        <f t="shared" si="158"/>
        <v>486342</v>
      </c>
      <c r="CR43" s="139">
        <f t="shared" si="159"/>
        <v>486342</v>
      </c>
      <c r="CS43" s="637" t="s">
        <v>63</v>
      </c>
      <c r="CT43" s="599" t="s">
        <v>110</v>
      </c>
      <c r="CU43" s="29">
        <v>0</v>
      </c>
      <c r="CV43" s="29">
        <v>395689</v>
      </c>
      <c r="CW43" s="29">
        <v>395689</v>
      </c>
      <c r="CX43" s="29">
        <f>+CW43</f>
        <v>395689</v>
      </c>
      <c r="CY43" s="29">
        <v>0</v>
      </c>
      <c r="CZ43" s="29">
        <v>0</v>
      </c>
      <c r="DA43" s="29">
        <v>0</v>
      </c>
      <c r="DB43" s="29">
        <v>0</v>
      </c>
      <c r="DC43" s="29">
        <v>0</v>
      </c>
      <c r="DD43" s="29">
        <v>0</v>
      </c>
      <c r="DE43" s="134">
        <f t="shared" si="163"/>
        <v>0</v>
      </c>
      <c r="DF43" s="134">
        <f t="shared" si="164"/>
        <v>395689</v>
      </c>
      <c r="DG43" s="134">
        <f t="shared" si="165"/>
        <v>395689</v>
      </c>
      <c r="DH43" s="134">
        <f t="shared" si="166"/>
        <v>395689</v>
      </c>
      <c r="DI43" s="637" t="s">
        <v>63</v>
      </c>
      <c r="DJ43" s="599" t="s">
        <v>110</v>
      </c>
      <c r="DK43" s="369">
        <v>0</v>
      </c>
      <c r="DL43" s="360">
        <v>620919</v>
      </c>
      <c r="DM43" s="506">
        <v>620919</v>
      </c>
      <c r="DN43" s="506">
        <f>+DM43</f>
        <v>620919</v>
      </c>
      <c r="DO43" s="369">
        <v>0</v>
      </c>
      <c r="DP43" s="369">
        <v>0</v>
      </c>
      <c r="DQ43" s="369">
        <v>0</v>
      </c>
      <c r="DR43" s="369">
        <v>0</v>
      </c>
      <c r="DS43" s="369">
        <v>0</v>
      </c>
      <c r="DT43" s="369">
        <v>0</v>
      </c>
      <c r="DU43" s="509">
        <f t="shared" si="170"/>
        <v>0</v>
      </c>
      <c r="DV43" s="134">
        <f t="shared" si="171"/>
        <v>620919</v>
      </c>
      <c r="DW43" s="134">
        <f t="shared" si="172"/>
        <v>620919</v>
      </c>
      <c r="DX43" s="134">
        <f t="shared" si="173"/>
        <v>620919</v>
      </c>
      <c r="DY43" s="637" t="s">
        <v>63</v>
      </c>
      <c r="DZ43" s="599" t="s">
        <v>110</v>
      </c>
      <c r="EA43" s="96">
        <f t="shared" si="189"/>
        <v>0</v>
      </c>
      <c r="EB43" s="96">
        <f t="shared" si="174"/>
        <v>20611817</v>
      </c>
      <c r="EC43" s="96">
        <f t="shared" si="175"/>
        <v>20611817</v>
      </c>
      <c r="ED43" s="96">
        <f t="shared" si="176"/>
        <v>20611817</v>
      </c>
      <c r="EE43" s="96">
        <f t="shared" si="177"/>
        <v>0</v>
      </c>
      <c r="EF43" s="96">
        <f t="shared" si="178"/>
        <v>0</v>
      </c>
      <c r="EG43" s="96">
        <f t="shared" si="179"/>
        <v>0</v>
      </c>
      <c r="EH43" s="96">
        <f t="shared" si="180"/>
        <v>0</v>
      </c>
      <c r="EI43" s="96">
        <f t="shared" si="181"/>
        <v>0</v>
      </c>
      <c r="EJ43" s="96">
        <f t="shared" si="182"/>
        <v>0</v>
      </c>
      <c r="EK43" s="96">
        <f t="shared" si="183"/>
        <v>0</v>
      </c>
      <c r="EL43" s="96">
        <f t="shared" si="184"/>
        <v>20611817</v>
      </c>
      <c r="EM43" s="96">
        <f t="shared" si="185"/>
        <v>20611817</v>
      </c>
      <c r="EN43" s="96">
        <f t="shared" si="186"/>
        <v>20611817</v>
      </c>
    </row>
    <row r="44" spans="1:144" s="181" customFormat="1" x14ac:dyDescent="0.25">
      <c r="A44" s="638" t="s">
        <v>104</v>
      </c>
      <c r="B44" s="727" t="s">
        <v>381</v>
      </c>
      <c r="C44" s="369"/>
      <c r="D44" s="508"/>
      <c r="E44" s="507"/>
      <c r="F44" s="507"/>
      <c r="G44" s="369"/>
      <c r="H44" s="369"/>
      <c r="I44" s="369"/>
      <c r="J44" s="369"/>
      <c r="K44" s="369"/>
      <c r="L44" s="369"/>
      <c r="M44" s="168"/>
      <c r="N44" s="168"/>
      <c r="O44" s="168"/>
      <c r="P44" s="168">
        <f t="shared" si="127"/>
        <v>0</v>
      </c>
      <c r="Q44" s="638" t="s">
        <v>104</v>
      </c>
      <c r="R44" s="727" t="s">
        <v>381</v>
      </c>
      <c r="S44" s="29"/>
      <c r="T44" s="508"/>
      <c r="U44" s="508"/>
      <c r="V44" s="29"/>
      <c r="W44" s="369"/>
      <c r="X44" s="29"/>
      <c r="Y44" s="29"/>
      <c r="Z44" s="29"/>
      <c r="AA44" s="29"/>
      <c r="AB44" s="29"/>
      <c r="AC44" s="139"/>
      <c r="AD44" s="139"/>
      <c r="AE44" s="139"/>
      <c r="AF44" s="139">
        <f t="shared" si="187"/>
        <v>0</v>
      </c>
      <c r="AG44" s="638" t="s">
        <v>104</v>
      </c>
      <c r="AH44" s="598" t="s">
        <v>381</v>
      </c>
      <c r="AI44" s="29"/>
      <c r="AJ44" s="508"/>
      <c r="AK44" s="508"/>
      <c r="AL44" s="508"/>
      <c r="AM44" s="29"/>
      <c r="AN44" s="29"/>
      <c r="AO44" s="29"/>
      <c r="AP44" s="29"/>
      <c r="AQ44" s="29"/>
      <c r="AR44" s="29"/>
      <c r="AS44" s="139"/>
      <c r="AT44" s="139"/>
      <c r="AU44" s="139"/>
      <c r="AV44" s="139">
        <f t="shared" si="188"/>
        <v>0</v>
      </c>
      <c r="AW44" s="638" t="s">
        <v>104</v>
      </c>
      <c r="AX44" s="598" t="s">
        <v>381</v>
      </c>
      <c r="AY44" s="29"/>
      <c r="AZ44" s="508"/>
      <c r="BA44" s="508"/>
      <c r="BB44" s="508"/>
      <c r="BC44" s="29"/>
      <c r="BD44" s="29"/>
      <c r="BE44" s="29"/>
      <c r="BF44" s="29"/>
      <c r="BG44" s="29"/>
      <c r="BH44" s="29"/>
      <c r="BI44" s="139"/>
      <c r="BJ44" s="139"/>
      <c r="BK44" s="139"/>
      <c r="BL44" s="139">
        <f t="shared" si="145"/>
        <v>0</v>
      </c>
      <c r="BM44" s="638" t="s">
        <v>104</v>
      </c>
      <c r="BN44" s="598" t="s">
        <v>381</v>
      </c>
      <c r="BO44" s="29"/>
      <c r="BP44" s="508"/>
      <c r="BQ44" s="508"/>
      <c r="BR44" s="508"/>
      <c r="BS44" s="29"/>
      <c r="BT44" s="29"/>
      <c r="BU44" s="29"/>
      <c r="BV44" s="29"/>
      <c r="BW44" s="29"/>
      <c r="BX44" s="29"/>
      <c r="BY44" s="139"/>
      <c r="BZ44" s="139"/>
      <c r="CA44" s="139"/>
      <c r="CB44" s="139">
        <f t="shared" si="152"/>
        <v>0</v>
      </c>
      <c r="CC44" s="638" t="s">
        <v>104</v>
      </c>
      <c r="CD44" s="598" t="s">
        <v>381</v>
      </c>
      <c r="CE44" s="29"/>
      <c r="CF44" s="144"/>
      <c r="CG44" s="144"/>
      <c r="CH44" s="144"/>
      <c r="CI44" s="29"/>
      <c r="CJ44" s="29"/>
      <c r="CK44" s="29"/>
      <c r="CL44" s="29"/>
      <c r="CM44" s="29"/>
      <c r="CN44" s="29"/>
      <c r="CO44" s="139"/>
      <c r="CP44" s="139"/>
      <c r="CQ44" s="139"/>
      <c r="CR44" s="139">
        <f t="shared" si="159"/>
        <v>0</v>
      </c>
      <c r="CS44" s="638" t="s">
        <v>104</v>
      </c>
      <c r="CT44" s="598" t="s">
        <v>381</v>
      </c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134"/>
      <c r="DF44" s="134"/>
      <c r="DG44" s="134"/>
      <c r="DH44" s="134">
        <f t="shared" si="166"/>
        <v>0</v>
      </c>
      <c r="DI44" s="638" t="s">
        <v>104</v>
      </c>
      <c r="DJ44" s="598" t="s">
        <v>381</v>
      </c>
      <c r="DK44" s="369"/>
      <c r="DL44" s="360"/>
      <c r="DM44" s="506"/>
      <c r="DN44" s="506"/>
      <c r="DO44" s="369"/>
      <c r="DP44" s="369"/>
      <c r="DQ44" s="369"/>
      <c r="DR44" s="369"/>
      <c r="DS44" s="369"/>
      <c r="DT44" s="369"/>
      <c r="DU44" s="509"/>
      <c r="DV44" s="134"/>
      <c r="DW44" s="134"/>
      <c r="DX44" s="134">
        <f t="shared" si="173"/>
        <v>0</v>
      </c>
      <c r="DY44" s="638" t="s">
        <v>104</v>
      </c>
      <c r="DZ44" s="598" t="s">
        <v>381</v>
      </c>
      <c r="EA44" s="96">
        <f t="shared" si="189"/>
        <v>0</v>
      </c>
      <c r="EB44" s="96">
        <f t="shared" si="174"/>
        <v>0</v>
      </c>
      <c r="EC44" s="96">
        <f t="shared" si="175"/>
        <v>0</v>
      </c>
      <c r="ED44" s="96">
        <f t="shared" si="176"/>
        <v>0</v>
      </c>
      <c r="EE44" s="96">
        <f t="shared" si="177"/>
        <v>0</v>
      </c>
      <c r="EF44" s="96">
        <f t="shared" si="178"/>
        <v>0</v>
      </c>
      <c r="EG44" s="96">
        <f t="shared" si="179"/>
        <v>0</v>
      </c>
      <c r="EH44" s="96">
        <f t="shared" si="180"/>
        <v>0</v>
      </c>
      <c r="EI44" s="96">
        <f t="shared" si="181"/>
        <v>0</v>
      </c>
      <c r="EJ44" s="96">
        <f t="shared" si="182"/>
        <v>0</v>
      </c>
      <c r="EK44" s="96">
        <f t="shared" si="183"/>
        <v>0</v>
      </c>
      <c r="EL44" s="96">
        <f t="shared" si="184"/>
        <v>0</v>
      </c>
      <c r="EM44" s="96">
        <f t="shared" si="185"/>
        <v>0</v>
      </c>
      <c r="EN44" s="96">
        <f t="shared" si="186"/>
        <v>0</v>
      </c>
    </row>
    <row r="45" spans="1:144" s="181" customFormat="1" x14ac:dyDescent="0.25">
      <c r="A45" s="639" t="s">
        <v>105</v>
      </c>
      <c r="B45" s="728" t="s">
        <v>550</v>
      </c>
      <c r="C45" s="369"/>
      <c r="D45" s="508"/>
      <c r="E45" s="507"/>
      <c r="F45" s="507"/>
      <c r="G45" s="369"/>
      <c r="H45" s="369"/>
      <c r="I45" s="369"/>
      <c r="J45" s="369"/>
      <c r="K45" s="369"/>
      <c r="L45" s="369"/>
      <c r="M45" s="168"/>
      <c r="N45" s="168"/>
      <c r="O45" s="168"/>
      <c r="P45" s="168">
        <f t="shared" si="127"/>
        <v>0</v>
      </c>
      <c r="Q45" s="639" t="s">
        <v>105</v>
      </c>
      <c r="R45" s="728" t="s">
        <v>550</v>
      </c>
      <c r="S45" s="29"/>
      <c r="T45" s="508"/>
      <c r="U45" s="508"/>
      <c r="V45" s="29"/>
      <c r="W45" s="369"/>
      <c r="X45" s="29"/>
      <c r="Y45" s="29"/>
      <c r="Z45" s="29"/>
      <c r="AA45" s="29"/>
      <c r="AB45" s="29"/>
      <c r="AC45" s="139"/>
      <c r="AD45" s="139"/>
      <c r="AE45" s="139"/>
      <c r="AF45" s="139">
        <f t="shared" si="187"/>
        <v>0</v>
      </c>
      <c r="AG45" s="639" t="s">
        <v>105</v>
      </c>
      <c r="AH45" s="599" t="s">
        <v>550</v>
      </c>
      <c r="AI45" s="29"/>
      <c r="AJ45" s="508"/>
      <c r="AK45" s="508"/>
      <c r="AL45" s="508"/>
      <c r="AM45" s="29"/>
      <c r="AN45" s="29"/>
      <c r="AO45" s="29"/>
      <c r="AP45" s="29"/>
      <c r="AQ45" s="29"/>
      <c r="AR45" s="29"/>
      <c r="AS45" s="139"/>
      <c r="AT45" s="139"/>
      <c r="AU45" s="139"/>
      <c r="AV45" s="139">
        <f t="shared" si="188"/>
        <v>0</v>
      </c>
      <c r="AW45" s="639" t="s">
        <v>105</v>
      </c>
      <c r="AX45" s="599" t="s">
        <v>550</v>
      </c>
      <c r="AY45" s="29"/>
      <c r="AZ45" s="508"/>
      <c r="BA45" s="508"/>
      <c r="BB45" s="508"/>
      <c r="BC45" s="29"/>
      <c r="BD45" s="29"/>
      <c r="BE45" s="29"/>
      <c r="BF45" s="29"/>
      <c r="BG45" s="29"/>
      <c r="BH45" s="29"/>
      <c r="BI45" s="139"/>
      <c r="BJ45" s="139"/>
      <c r="BK45" s="139"/>
      <c r="BL45" s="139">
        <f t="shared" si="145"/>
        <v>0</v>
      </c>
      <c r="BM45" s="639" t="s">
        <v>105</v>
      </c>
      <c r="BN45" s="599" t="s">
        <v>550</v>
      </c>
      <c r="BO45" s="29"/>
      <c r="BP45" s="508"/>
      <c r="BQ45" s="508"/>
      <c r="BR45" s="508"/>
      <c r="BS45" s="29"/>
      <c r="BT45" s="29"/>
      <c r="BU45" s="29"/>
      <c r="BV45" s="29"/>
      <c r="BW45" s="29"/>
      <c r="BX45" s="29"/>
      <c r="BY45" s="139"/>
      <c r="BZ45" s="139"/>
      <c r="CA45" s="139"/>
      <c r="CB45" s="139">
        <f t="shared" si="152"/>
        <v>0</v>
      </c>
      <c r="CC45" s="639" t="s">
        <v>105</v>
      </c>
      <c r="CD45" s="599" t="s">
        <v>550</v>
      </c>
      <c r="CE45" s="29"/>
      <c r="CF45" s="144"/>
      <c r="CG45" s="144"/>
      <c r="CH45" s="144"/>
      <c r="CI45" s="29"/>
      <c r="CJ45" s="29"/>
      <c r="CK45" s="29"/>
      <c r="CL45" s="29"/>
      <c r="CM45" s="29"/>
      <c r="CN45" s="29"/>
      <c r="CO45" s="139"/>
      <c r="CP45" s="139"/>
      <c r="CQ45" s="139"/>
      <c r="CR45" s="139">
        <f t="shared" si="159"/>
        <v>0</v>
      </c>
      <c r="CS45" s="639" t="s">
        <v>105</v>
      </c>
      <c r="CT45" s="599" t="s">
        <v>550</v>
      </c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134"/>
      <c r="DF45" s="134"/>
      <c r="DG45" s="134"/>
      <c r="DH45" s="134">
        <f t="shared" si="166"/>
        <v>0</v>
      </c>
      <c r="DI45" s="639" t="s">
        <v>105</v>
      </c>
      <c r="DJ45" s="599" t="s">
        <v>550</v>
      </c>
      <c r="DK45" s="369"/>
      <c r="DL45" s="360"/>
      <c r="DM45" s="506"/>
      <c r="DN45" s="506"/>
      <c r="DO45" s="369"/>
      <c r="DP45" s="369"/>
      <c r="DQ45" s="369"/>
      <c r="DR45" s="369"/>
      <c r="DS45" s="369"/>
      <c r="DT45" s="369"/>
      <c r="DU45" s="509"/>
      <c r="DV45" s="134"/>
      <c r="DW45" s="134"/>
      <c r="DX45" s="134">
        <f t="shared" si="173"/>
        <v>0</v>
      </c>
      <c r="DY45" s="639" t="s">
        <v>105</v>
      </c>
      <c r="DZ45" s="599" t="s">
        <v>550</v>
      </c>
      <c r="EA45" s="96">
        <f t="shared" si="189"/>
        <v>0</v>
      </c>
      <c r="EB45" s="96">
        <f t="shared" si="174"/>
        <v>0</v>
      </c>
      <c r="EC45" s="96">
        <f t="shared" si="175"/>
        <v>0</v>
      </c>
      <c r="ED45" s="96">
        <f t="shared" si="176"/>
        <v>0</v>
      </c>
      <c r="EE45" s="96">
        <f t="shared" si="177"/>
        <v>0</v>
      </c>
      <c r="EF45" s="96">
        <f t="shared" si="178"/>
        <v>0</v>
      </c>
      <c r="EG45" s="96">
        <f t="shared" si="179"/>
        <v>0</v>
      </c>
      <c r="EH45" s="96">
        <f t="shared" si="180"/>
        <v>0</v>
      </c>
      <c r="EI45" s="96">
        <f t="shared" si="181"/>
        <v>0</v>
      </c>
      <c r="EJ45" s="96">
        <f t="shared" si="182"/>
        <v>0</v>
      </c>
      <c r="EK45" s="96">
        <f t="shared" si="183"/>
        <v>0</v>
      </c>
      <c r="EL45" s="96">
        <f t="shared" si="184"/>
        <v>0</v>
      </c>
      <c r="EM45" s="96">
        <f t="shared" si="185"/>
        <v>0</v>
      </c>
      <c r="EN45" s="96">
        <f t="shared" si="186"/>
        <v>0</v>
      </c>
    </row>
    <row r="46" spans="1:144" s="181" customFormat="1" ht="22.5" x14ac:dyDescent="0.25">
      <c r="A46" s="638" t="s">
        <v>380</v>
      </c>
      <c r="B46" s="727" t="s">
        <v>111</v>
      </c>
      <c r="C46" s="369"/>
      <c r="D46" s="508"/>
      <c r="E46" s="507"/>
      <c r="F46" s="507"/>
      <c r="G46" s="369"/>
      <c r="H46" s="369"/>
      <c r="I46" s="369"/>
      <c r="J46" s="369"/>
      <c r="K46" s="369"/>
      <c r="L46" s="369"/>
      <c r="M46" s="168"/>
      <c r="N46" s="168"/>
      <c r="O46" s="168"/>
      <c r="P46" s="168">
        <f t="shared" si="127"/>
        <v>0</v>
      </c>
      <c r="Q46" s="638" t="s">
        <v>380</v>
      </c>
      <c r="R46" s="727" t="s">
        <v>111</v>
      </c>
      <c r="S46" s="29"/>
      <c r="T46" s="508"/>
      <c r="U46" s="508"/>
      <c r="V46" s="29"/>
      <c r="W46" s="369"/>
      <c r="X46" s="29"/>
      <c r="Y46" s="29"/>
      <c r="Z46" s="29"/>
      <c r="AA46" s="29"/>
      <c r="AB46" s="29"/>
      <c r="AC46" s="139"/>
      <c r="AD46" s="139"/>
      <c r="AE46" s="139"/>
      <c r="AF46" s="139">
        <f t="shared" si="187"/>
        <v>0</v>
      </c>
      <c r="AG46" s="638" t="s">
        <v>380</v>
      </c>
      <c r="AH46" s="640" t="s">
        <v>111</v>
      </c>
      <c r="AI46" s="29"/>
      <c r="AJ46" s="508"/>
      <c r="AK46" s="508"/>
      <c r="AL46" s="508"/>
      <c r="AM46" s="29"/>
      <c r="AN46" s="29"/>
      <c r="AO46" s="29"/>
      <c r="AP46" s="29"/>
      <c r="AQ46" s="29"/>
      <c r="AR46" s="29"/>
      <c r="AS46" s="139"/>
      <c r="AT46" s="139"/>
      <c r="AU46" s="139"/>
      <c r="AV46" s="139">
        <f t="shared" si="188"/>
        <v>0</v>
      </c>
      <c r="AW46" s="638" t="s">
        <v>380</v>
      </c>
      <c r="AX46" s="640" t="s">
        <v>111</v>
      </c>
      <c r="AY46" s="29"/>
      <c r="AZ46" s="508"/>
      <c r="BA46" s="508"/>
      <c r="BB46" s="508"/>
      <c r="BC46" s="29"/>
      <c r="BD46" s="29"/>
      <c r="BE46" s="29"/>
      <c r="BF46" s="29"/>
      <c r="BG46" s="29"/>
      <c r="BH46" s="29"/>
      <c r="BI46" s="139"/>
      <c r="BJ46" s="139"/>
      <c r="BK46" s="139"/>
      <c r="BL46" s="139">
        <f t="shared" si="145"/>
        <v>0</v>
      </c>
      <c r="BM46" s="638" t="s">
        <v>380</v>
      </c>
      <c r="BN46" s="640" t="s">
        <v>111</v>
      </c>
      <c r="BO46" s="29"/>
      <c r="BP46" s="508"/>
      <c r="BQ46" s="508"/>
      <c r="BR46" s="508"/>
      <c r="BS46" s="29"/>
      <c r="BT46" s="29"/>
      <c r="BU46" s="29"/>
      <c r="BV46" s="29"/>
      <c r="BW46" s="29"/>
      <c r="BX46" s="29"/>
      <c r="BY46" s="139"/>
      <c r="BZ46" s="139"/>
      <c r="CA46" s="139"/>
      <c r="CB46" s="139">
        <f t="shared" si="152"/>
        <v>0</v>
      </c>
      <c r="CC46" s="638" t="s">
        <v>380</v>
      </c>
      <c r="CD46" s="640" t="s">
        <v>111</v>
      </c>
      <c r="CE46" s="29"/>
      <c r="CF46" s="144"/>
      <c r="CG46" s="144"/>
      <c r="CH46" s="144"/>
      <c r="CI46" s="29"/>
      <c r="CJ46" s="29"/>
      <c r="CK46" s="29"/>
      <c r="CL46" s="29"/>
      <c r="CM46" s="29"/>
      <c r="CN46" s="29"/>
      <c r="CO46" s="139"/>
      <c r="CP46" s="139"/>
      <c r="CQ46" s="139"/>
      <c r="CR46" s="139">
        <f t="shared" si="159"/>
        <v>0</v>
      </c>
      <c r="CS46" s="638" t="s">
        <v>380</v>
      </c>
      <c r="CT46" s="640" t="s">
        <v>111</v>
      </c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134"/>
      <c r="DF46" s="134"/>
      <c r="DG46" s="134"/>
      <c r="DH46" s="134">
        <f t="shared" si="166"/>
        <v>0</v>
      </c>
      <c r="DI46" s="638" t="s">
        <v>380</v>
      </c>
      <c r="DJ46" s="640" t="s">
        <v>111</v>
      </c>
      <c r="DK46" s="369"/>
      <c r="DL46" s="360"/>
      <c r="DM46" s="506"/>
      <c r="DN46" s="506"/>
      <c r="DO46" s="369"/>
      <c r="DP46" s="369"/>
      <c r="DQ46" s="369"/>
      <c r="DR46" s="369"/>
      <c r="DS46" s="369"/>
      <c r="DT46" s="369"/>
      <c r="DU46" s="509"/>
      <c r="DV46" s="134"/>
      <c r="DW46" s="134"/>
      <c r="DX46" s="134">
        <f t="shared" si="173"/>
        <v>0</v>
      </c>
      <c r="DY46" s="638" t="s">
        <v>380</v>
      </c>
      <c r="DZ46" s="640" t="s">
        <v>111</v>
      </c>
      <c r="EA46" s="96">
        <f t="shared" si="189"/>
        <v>0</v>
      </c>
      <c r="EB46" s="96">
        <f t="shared" si="174"/>
        <v>0</v>
      </c>
      <c r="EC46" s="96">
        <f t="shared" si="175"/>
        <v>0</v>
      </c>
      <c r="ED46" s="96">
        <f t="shared" si="176"/>
        <v>0</v>
      </c>
      <c r="EE46" s="96">
        <f t="shared" si="177"/>
        <v>0</v>
      </c>
      <c r="EF46" s="96">
        <f t="shared" si="178"/>
        <v>0</v>
      </c>
      <c r="EG46" s="96">
        <f t="shared" si="179"/>
        <v>0</v>
      </c>
      <c r="EH46" s="96">
        <f t="shared" si="180"/>
        <v>0</v>
      </c>
      <c r="EI46" s="96">
        <f t="shared" si="181"/>
        <v>0</v>
      </c>
      <c r="EJ46" s="96">
        <f t="shared" si="182"/>
        <v>0</v>
      </c>
      <c r="EK46" s="96">
        <f t="shared" si="183"/>
        <v>0</v>
      </c>
      <c r="EL46" s="96">
        <f t="shared" si="184"/>
        <v>0</v>
      </c>
      <c r="EM46" s="96">
        <f t="shared" si="185"/>
        <v>0</v>
      </c>
      <c r="EN46" s="96">
        <f t="shared" si="186"/>
        <v>0</v>
      </c>
    </row>
    <row r="47" spans="1:144" s="181" customFormat="1" ht="22.5" x14ac:dyDescent="0.25">
      <c r="A47" s="638" t="s">
        <v>549</v>
      </c>
      <c r="B47" s="727" t="s">
        <v>112</v>
      </c>
      <c r="C47" s="369"/>
      <c r="D47" s="508"/>
      <c r="E47" s="507"/>
      <c r="F47" s="507"/>
      <c r="G47" s="369"/>
      <c r="H47" s="369"/>
      <c r="I47" s="369"/>
      <c r="J47" s="369"/>
      <c r="K47" s="369"/>
      <c r="L47" s="369"/>
      <c r="M47" s="168"/>
      <c r="N47" s="168"/>
      <c r="O47" s="168"/>
      <c r="P47" s="168">
        <f t="shared" si="127"/>
        <v>0</v>
      </c>
      <c r="Q47" s="638" t="s">
        <v>549</v>
      </c>
      <c r="R47" s="727" t="s">
        <v>112</v>
      </c>
      <c r="S47" s="29"/>
      <c r="T47" s="508"/>
      <c r="U47" s="508"/>
      <c r="V47" s="29"/>
      <c r="W47" s="369"/>
      <c r="X47" s="29"/>
      <c r="Y47" s="29"/>
      <c r="Z47" s="29"/>
      <c r="AA47" s="29"/>
      <c r="AB47" s="29"/>
      <c r="AC47" s="139"/>
      <c r="AD47" s="139"/>
      <c r="AE47" s="139"/>
      <c r="AF47" s="139">
        <f t="shared" si="187"/>
        <v>0</v>
      </c>
      <c r="AG47" s="638" t="s">
        <v>549</v>
      </c>
      <c r="AH47" s="640" t="s">
        <v>112</v>
      </c>
      <c r="AI47" s="29"/>
      <c r="AJ47" s="508"/>
      <c r="AK47" s="508"/>
      <c r="AL47" s="508"/>
      <c r="AM47" s="29"/>
      <c r="AN47" s="29"/>
      <c r="AO47" s="29"/>
      <c r="AP47" s="29"/>
      <c r="AQ47" s="29"/>
      <c r="AR47" s="29"/>
      <c r="AS47" s="139"/>
      <c r="AT47" s="139"/>
      <c r="AU47" s="139"/>
      <c r="AV47" s="139">
        <f t="shared" si="188"/>
        <v>0</v>
      </c>
      <c r="AW47" s="638" t="s">
        <v>549</v>
      </c>
      <c r="AX47" s="640" t="s">
        <v>112</v>
      </c>
      <c r="AY47" s="29"/>
      <c r="AZ47" s="508"/>
      <c r="BA47" s="508"/>
      <c r="BB47" s="508"/>
      <c r="BC47" s="29"/>
      <c r="BD47" s="29"/>
      <c r="BE47" s="29"/>
      <c r="BF47" s="29"/>
      <c r="BG47" s="29"/>
      <c r="BH47" s="29"/>
      <c r="BI47" s="139"/>
      <c r="BJ47" s="139"/>
      <c r="BK47" s="139"/>
      <c r="BL47" s="139">
        <f t="shared" si="145"/>
        <v>0</v>
      </c>
      <c r="BM47" s="638" t="s">
        <v>549</v>
      </c>
      <c r="BN47" s="640" t="s">
        <v>112</v>
      </c>
      <c r="BO47" s="29"/>
      <c r="BP47" s="508"/>
      <c r="BQ47" s="508"/>
      <c r="BR47" s="508"/>
      <c r="BS47" s="29"/>
      <c r="BT47" s="29"/>
      <c r="BU47" s="29"/>
      <c r="BV47" s="29"/>
      <c r="BW47" s="29"/>
      <c r="BX47" s="29"/>
      <c r="BY47" s="139"/>
      <c r="BZ47" s="139"/>
      <c r="CA47" s="139"/>
      <c r="CB47" s="139">
        <f t="shared" si="152"/>
        <v>0</v>
      </c>
      <c r="CC47" s="638" t="s">
        <v>549</v>
      </c>
      <c r="CD47" s="640" t="s">
        <v>112</v>
      </c>
      <c r="CE47" s="29"/>
      <c r="CF47" s="144"/>
      <c r="CG47" s="144"/>
      <c r="CH47" s="144"/>
      <c r="CI47" s="29"/>
      <c r="CJ47" s="29"/>
      <c r="CK47" s="29"/>
      <c r="CL47" s="29"/>
      <c r="CM47" s="29"/>
      <c r="CN47" s="29"/>
      <c r="CO47" s="139"/>
      <c r="CP47" s="139"/>
      <c r="CQ47" s="139"/>
      <c r="CR47" s="139">
        <f t="shared" si="159"/>
        <v>0</v>
      </c>
      <c r="CS47" s="638" t="s">
        <v>549</v>
      </c>
      <c r="CT47" s="640" t="s">
        <v>112</v>
      </c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134"/>
      <c r="DF47" s="134"/>
      <c r="DG47" s="134"/>
      <c r="DH47" s="134">
        <f t="shared" si="166"/>
        <v>0</v>
      </c>
      <c r="DI47" s="638" t="s">
        <v>549</v>
      </c>
      <c r="DJ47" s="640" t="s">
        <v>112</v>
      </c>
      <c r="DK47" s="369"/>
      <c r="DL47" s="360"/>
      <c r="DM47" s="506"/>
      <c r="DN47" s="506"/>
      <c r="DO47" s="369"/>
      <c r="DP47" s="369"/>
      <c r="DQ47" s="369"/>
      <c r="DR47" s="369"/>
      <c r="DS47" s="369"/>
      <c r="DT47" s="369"/>
      <c r="DU47" s="509"/>
      <c r="DV47" s="134"/>
      <c r="DW47" s="134"/>
      <c r="DX47" s="134">
        <f t="shared" si="173"/>
        <v>0</v>
      </c>
      <c r="DY47" s="638" t="s">
        <v>549</v>
      </c>
      <c r="DZ47" s="640" t="s">
        <v>112</v>
      </c>
      <c r="EA47" s="96">
        <f t="shared" si="189"/>
        <v>0</v>
      </c>
      <c r="EB47" s="96">
        <f t="shared" si="174"/>
        <v>0</v>
      </c>
      <c r="EC47" s="96">
        <f t="shared" si="175"/>
        <v>0</v>
      </c>
      <c r="ED47" s="96">
        <f t="shared" si="176"/>
        <v>0</v>
      </c>
      <c r="EE47" s="96">
        <f t="shared" si="177"/>
        <v>0</v>
      </c>
      <c r="EF47" s="96">
        <f t="shared" si="178"/>
        <v>0</v>
      </c>
      <c r="EG47" s="96">
        <f t="shared" si="179"/>
        <v>0</v>
      </c>
      <c r="EH47" s="96">
        <f t="shared" si="180"/>
        <v>0</v>
      </c>
      <c r="EI47" s="96">
        <f t="shared" si="181"/>
        <v>0</v>
      </c>
      <c r="EJ47" s="96">
        <f t="shared" si="182"/>
        <v>0</v>
      </c>
      <c r="EK47" s="96">
        <f t="shared" si="183"/>
        <v>0</v>
      </c>
      <c r="EL47" s="96">
        <f t="shared" si="184"/>
        <v>0</v>
      </c>
      <c r="EM47" s="96">
        <f t="shared" si="185"/>
        <v>0</v>
      </c>
      <c r="EN47" s="96">
        <f t="shared" si="186"/>
        <v>0</v>
      </c>
    </row>
    <row r="48" spans="1:144" x14ac:dyDescent="0.25">
      <c r="A48" s="639" t="s">
        <v>106</v>
      </c>
      <c r="B48" s="728" t="s">
        <v>9</v>
      </c>
      <c r="C48" s="369">
        <v>0</v>
      </c>
      <c r="D48" s="144">
        <v>0</v>
      </c>
      <c r="E48" s="369">
        <v>0</v>
      </c>
      <c r="F48" s="369">
        <f>+E48</f>
        <v>0</v>
      </c>
      <c r="G48" s="369">
        <v>0</v>
      </c>
      <c r="H48" s="369">
        <v>0</v>
      </c>
      <c r="I48" s="369">
        <v>0</v>
      </c>
      <c r="J48" s="369">
        <v>0</v>
      </c>
      <c r="K48" s="369"/>
      <c r="L48" s="369">
        <v>0</v>
      </c>
      <c r="M48" s="168">
        <f t="shared" si="124"/>
        <v>0</v>
      </c>
      <c r="N48" s="168">
        <f t="shared" ref="N48" si="190">D48+H48+L48</f>
        <v>0</v>
      </c>
      <c r="O48" s="168">
        <f t="shared" ref="O48" si="191">E48+I48+M48</f>
        <v>0</v>
      </c>
      <c r="P48" s="168">
        <f t="shared" si="127"/>
        <v>0</v>
      </c>
      <c r="Q48" s="639" t="s">
        <v>106</v>
      </c>
      <c r="R48" s="728" t="s">
        <v>9</v>
      </c>
      <c r="S48" s="29">
        <v>0</v>
      </c>
      <c r="T48" s="144">
        <v>0</v>
      </c>
      <c r="U48" s="144">
        <v>0</v>
      </c>
      <c r="V48" s="29">
        <v>0</v>
      </c>
      <c r="W48" s="369">
        <v>0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  <c r="AC48" s="139">
        <f t="shared" si="130"/>
        <v>0</v>
      </c>
      <c r="AD48" s="139">
        <f t="shared" si="131"/>
        <v>0</v>
      </c>
      <c r="AE48" s="139">
        <f t="shared" si="132"/>
        <v>0</v>
      </c>
      <c r="AF48" s="139">
        <f t="shared" si="187"/>
        <v>0</v>
      </c>
      <c r="AG48" s="639" t="s">
        <v>106</v>
      </c>
      <c r="AH48" s="599" t="s">
        <v>9</v>
      </c>
      <c r="AI48" s="29">
        <v>0</v>
      </c>
      <c r="AJ48" s="29">
        <v>0</v>
      </c>
      <c r="AK48" s="29">
        <v>0</v>
      </c>
      <c r="AL48" s="29"/>
      <c r="AM48" s="29">
        <v>0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17">
        <f t="shared" si="136"/>
        <v>0</v>
      </c>
      <c r="AT48" s="139">
        <f t="shared" si="137"/>
        <v>0</v>
      </c>
      <c r="AU48" s="139">
        <f t="shared" si="138"/>
        <v>0</v>
      </c>
      <c r="AV48" s="139">
        <f t="shared" si="188"/>
        <v>0</v>
      </c>
      <c r="AW48" s="639" t="s">
        <v>106</v>
      </c>
      <c r="AX48" s="599" t="s">
        <v>9</v>
      </c>
      <c r="AY48" s="29">
        <v>0</v>
      </c>
      <c r="AZ48" s="29">
        <v>0</v>
      </c>
      <c r="BA48" s="29">
        <v>0</v>
      </c>
      <c r="BB48" s="29"/>
      <c r="BC48" s="29">
        <v>0</v>
      </c>
      <c r="BD48" s="29">
        <v>0</v>
      </c>
      <c r="BE48" s="29">
        <v>0</v>
      </c>
      <c r="BF48" s="29">
        <v>0</v>
      </c>
      <c r="BG48" s="29">
        <v>0</v>
      </c>
      <c r="BH48" s="29">
        <v>0</v>
      </c>
      <c r="BI48" s="17">
        <f t="shared" si="142"/>
        <v>0</v>
      </c>
      <c r="BJ48" s="139">
        <f t="shared" si="143"/>
        <v>0</v>
      </c>
      <c r="BK48" s="139">
        <f t="shared" si="144"/>
        <v>0</v>
      </c>
      <c r="BL48" s="139">
        <f t="shared" si="145"/>
        <v>0</v>
      </c>
      <c r="BM48" s="639" t="s">
        <v>106</v>
      </c>
      <c r="BN48" s="599" t="s">
        <v>9</v>
      </c>
      <c r="BO48" s="29">
        <v>0</v>
      </c>
      <c r="BP48" s="29">
        <v>0</v>
      </c>
      <c r="BQ48" s="29">
        <v>0</v>
      </c>
      <c r="BR48" s="29"/>
      <c r="BS48" s="29">
        <v>0</v>
      </c>
      <c r="BT48" s="29">
        <v>0</v>
      </c>
      <c r="BU48" s="29">
        <v>0</v>
      </c>
      <c r="BV48" s="29">
        <v>0</v>
      </c>
      <c r="BW48" s="29">
        <v>0</v>
      </c>
      <c r="BX48" s="29">
        <v>0</v>
      </c>
      <c r="BY48" s="17">
        <f t="shared" si="149"/>
        <v>0</v>
      </c>
      <c r="BZ48" s="139">
        <f t="shared" si="150"/>
        <v>0</v>
      </c>
      <c r="CA48" s="139">
        <f t="shared" si="151"/>
        <v>0</v>
      </c>
      <c r="CB48" s="139">
        <f t="shared" si="152"/>
        <v>0</v>
      </c>
      <c r="CC48" s="639" t="s">
        <v>106</v>
      </c>
      <c r="CD48" s="599" t="s">
        <v>9</v>
      </c>
      <c r="CE48" s="29">
        <v>0</v>
      </c>
      <c r="CF48" s="29">
        <v>0</v>
      </c>
      <c r="CG48" s="29">
        <v>0</v>
      </c>
      <c r="CH48" s="29"/>
      <c r="CI48" s="29">
        <v>0</v>
      </c>
      <c r="CJ48" s="29">
        <v>0</v>
      </c>
      <c r="CK48" s="29">
        <v>0</v>
      </c>
      <c r="CL48" s="29">
        <v>0</v>
      </c>
      <c r="CM48" s="29">
        <v>0</v>
      </c>
      <c r="CN48" s="29">
        <v>0</v>
      </c>
      <c r="CO48" s="17">
        <f t="shared" si="156"/>
        <v>0</v>
      </c>
      <c r="CP48" s="139">
        <f t="shared" si="157"/>
        <v>0</v>
      </c>
      <c r="CQ48" s="139">
        <f t="shared" si="158"/>
        <v>0</v>
      </c>
      <c r="CR48" s="139">
        <f t="shared" si="159"/>
        <v>0</v>
      </c>
      <c r="CS48" s="639" t="s">
        <v>106</v>
      </c>
      <c r="CT48" s="599" t="s">
        <v>9</v>
      </c>
      <c r="CU48" s="29">
        <v>0</v>
      </c>
      <c r="CV48" s="29">
        <v>0</v>
      </c>
      <c r="CW48" s="29">
        <v>0</v>
      </c>
      <c r="CX48" s="29"/>
      <c r="CY48" s="29">
        <v>0</v>
      </c>
      <c r="CZ48" s="29">
        <v>0</v>
      </c>
      <c r="DA48" s="29">
        <v>0</v>
      </c>
      <c r="DB48" s="29">
        <v>0</v>
      </c>
      <c r="DC48" s="29">
        <v>0</v>
      </c>
      <c r="DD48" s="29">
        <v>0</v>
      </c>
      <c r="DE48" s="134">
        <f t="shared" si="163"/>
        <v>0</v>
      </c>
      <c r="DF48" s="134">
        <f t="shared" si="164"/>
        <v>0</v>
      </c>
      <c r="DG48" s="134">
        <f t="shared" si="165"/>
        <v>0</v>
      </c>
      <c r="DH48" s="134">
        <f t="shared" si="166"/>
        <v>0</v>
      </c>
      <c r="DI48" s="639" t="s">
        <v>106</v>
      </c>
      <c r="DJ48" s="599" t="s">
        <v>9</v>
      </c>
      <c r="DK48" s="369">
        <v>0</v>
      </c>
      <c r="DL48" s="144">
        <v>0</v>
      </c>
      <c r="DM48" s="369">
        <v>0</v>
      </c>
      <c r="DN48" s="369"/>
      <c r="DO48" s="369">
        <v>0</v>
      </c>
      <c r="DP48" s="369">
        <v>0</v>
      </c>
      <c r="DQ48" s="369">
        <v>0</v>
      </c>
      <c r="DR48" s="369">
        <v>0</v>
      </c>
      <c r="DS48" s="369">
        <v>0</v>
      </c>
      <c r="DT48" s="369">
        <v>0</v>
      </c>
      <c r="DU48" s="509">
        <f t="shared" si="170"/>
        <v>0</v>
      </c>
      <c r="DV48" s="134">
        <f t="shared" si="171"/>
        <v>0</v>
      </c>
      <c r="DW48" s="134">
        <f t="shared" si="172"/>
        <v>0</v>
      </c>
      <c r="DX48" s="134">
        <f t="shared" si="173"/>
        <v>0</v>
      </c>
      <c r="DY48" s="639" t="s">
        <v>106</v>
      </c>
      <c r="DZ48" s="599" t="s">
        <v>9</v>
      </c>
      <c r="EA48" s="96">
        <f t="shared" si="189"/>
        <v>0</v>
      </c>
      <c r="EB48" s="96">
        <f t="shared" si="174"/>
        <v>0</v>
      </c>
      <c r="EC48" s="96">
        <f t="shared" si="175"/>
        <v>0</v>
      </c>
      <c r="ED48" s="96">
        <f t="shared" si="176"/>
        <v>0</v>
      </c>
      <c r="EE48" s="96">
        <f t="shared" si="177"/>
        <v>0</v>
      </c>
      <c r="EF48" s="96">
        <f t="shared" si="178"/>
        <v>0</v>
      </c>
      <c r="EG48" s="96">
        <f t="shared" si="179"/>
        <v>0</v>
      </c>
      <c r="EH48" s="96">
        <f t="shared" si="180"/>
        <v>0</v>
      </c>
      <c r="EI48" s="96">
        <f t="shared" si="181"/>
        <v>0</v>
      </c>
      <c r="EJ48" s="96">
        <f t="shared" si="182"/>
        <v>0</v>
      </c>
      <c r="EK48" s="96">
        <f t="shared" si="183"/>
        <v>0</v>
      </c>
      <c r="EL48" s="96">
        <f t="shared" si="184"/>
        <v>0</v>
      </c>
      <c r="EM48" s="96">
        <f t="shared" si="185"/>
        <v>0</v>
      </c>
      <c r="EN48" s="96">
        <f t="shared" si="186"/>
        <v>0</v>
      </c>
    </row>
    <row r="49" spans="1:144" s="181" customFormat="1" x14ac:dyDescent="0.25">
      <c r="A49" s="638"/>
      <c r="B49" s="727" t="s">
        <v>276</v>
      </c>
      <c r="C49" s="369"/>
      <c r="D49" s="144"/>
      <c r="E49" s="369"/>
      <c r="F49" s="369"/>
      <c r="G49" s="369"/>
      <c r="H49" s="369"/>
      <c r="I49" s="369"/>
      <c r="J49" s="369"/>
      <c r="K49" s="369"/>
      <c r="L49" s="369"/>
      <c r="M49" s="168"/>
      <c r="N49" s="168"/>
      <c r="O49" s="168"/>
      <c r="P49" s="168">
        <f t="shared" si="127"/>
        <v>0</v>
      </c>
      <c r="Q49" s="638"/>
      <c r="R49" s="727" t="s">
        <v>276</v>
      </c>
      <c r="S49" s="29"/>
      <c r="T49" s="144"/>
      <c r="U49" s="144"/>
      <c r="V49" s="29"/>
      <c r="W49" s="369"/>
      <c r="X49" s="29"/>
      <c r="Y49" s="29"/>
      <c r="Z49" s="29"/>
      <c r="AA49" s="29"/>
      <c r="AB49" s="29"/>
      <c r="AC49" s="139"/>
      <c r="AD49" s="139"/>
      <c r="AE49" s="139"/>
      <c r="AF49" s="139">
        <f t="shared" si="187"/>
        <v>0</v>
      </c>
      <c r="AG49" s="638"/>
      <c r="AH49" s="598" t="s">
        <v>276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139"/>
      <c r="AT49" s="139"/>
      <c r="AU49" s="139"/>
      <c r="AV49" s="139">
        <f t="shared" si="188"/>
        <v>0</v>
      </c>
      <c r="AW49" s="638"/>
      <c r="AX49" s="598" t="s">
        <v>276</v>
      </c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139"/>
      <c r="BJ49" s="139"/>
      <c r="BK49" s="139"/>
      <c r="BL49" s="139">
        <f t="shared" si="145"/>
        <v>0</v>
      </c>
      <c r="BM49" s="638"/>
      <c r="BN49" s="598" t="s">
        <v>276</v>
      </c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139"/>
      <c r="BZ49" s="139"/>
      <c r="CA49" s="139"/>
      <c r="CB49" s="139">
        <f t="shared" si="152"/>
        <v>0</v>
      </c>
      <c r="CC49" s="638"/>
      <c r="CD49" s="598" t="s">
        <v>276</v>
      </c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139"/>
      <c r="CP49" s="139"/>
      <c r="CQ49" s="139"/>
      <c r="CR49" s="139">
        <f t="shared" si="159"/>
        <v>0</v>
      </c>
      <c r="CS49" s="638"/>
      <c r="CT49" s="598" t="s">
        <v>276</v>
      </c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134"/>
      <c r="DF49" s="134"/>
      <c r="DG49" s="134"/>
      <c r="DH49" s="134">
        <f t="shared" si="166"/>
        <v>0</v>
      </c>
      <c r="DI49" s="638"/>
      <c r="DJ49" s="598" t="s">
        <v>276</v>
      </c>
      <c r="DK49" s="369"/>
      <c r="DL49" s="144"/>
      <c r="DM49" s="369"/>
      <c r="DN49" s="369"/>
      <c r="DO49" s="369"/>
      <c r="DP49" s="369"/>
      <c r="DQ49" s="369"/>
      <c r="DR49" s="369"/>
      <c r="DS49" s="369"/>
      <c r="DT49" s="369"/>
      <c r="DU49" s="509"/>
      <c r="DV49" s="134"/>
      <c r="DW49" s="134"/>
      <c r="DX49" s="134">
        <f t="shared" si="173"/>
        <v>0</v>
      </c>
      <c r="DY49" s="638"/>
      <c r="DZ49" s="598" t="s">
        <v>276</v>
      </c>
      <c r="EA49" s="96">
        <f t="shared" si="189"/>
        <v>0</v>
      </c>
      <c r="EB49" s="96">
        <f t="shared" si="174"/>
        <v>0</v>
      </c>
      <c r="EC49" s="96">
        <f t="shared" si="175"/>
        <v>0</v>
      </c>
      <c r="ED49" s="96">
        <f t="shared" si="176"/>
        <v>0</v>
      </c>
      <c r="EE49" s="96">
        <f t="shared" si="177"/>
        <v>0</v>
      </c>
      <c r="EF49" s="96">
        <f t="shared" si="178"/>
        <v>0</v>
      </c>
      <c r="EG49" s="96">
        <f t="shared" si="179"/>
        <v>0</v>
      </c>
      <c r="EH49" s="96">
        <f t="shared" si="180"/>
        <v>0</v>
      </c>
      <c r="EI49" s="96">
        <f t="shared" si="181"/>
        <v>0</v>
      </c>
      <c r="EJ49" s="96">
        <f t="shared" si="182"/>
        <v>0</v>
      </c>
      <c r="EK49" s="96">
        <f t="shared" si="183"/>
        <v>0</v>
      </c>
      <c r="EL49" s="96">
        <f t="shared" si="184"/>
        <v>0</v>
      </c>
      <c r="EM49" s="96">
        <f t="shared" si="185"/>
        <v>0</v>
      </c>
      <c r="EN49" s="96">
        <f t="shared" si="186"/>
        <v>0</v>
      </c>
    </row>
    <row r="50" spans="1:144" s="180" customFormat="1" x14ac:dyDescent="0.25">
      <c r="A50" s="639" t="s">
        <v>13</v>
      </c>
      <c r="B50" s="728" t="s">
        <v>113</v>
      </c>
      <c r="C50" s="139">
        <f>C51+C52+C53</f>
        <v>6350000</v>
      </c>
      <c r="D50" s="139">
        <f t="shared" ref="D50" si="192">D51+D52+D53</f>
        <v>5230000</v>
      </c>
      <c r="E50" s="139">
        <f t="shared" ref="E50:L50" si="193">E51+E52+E53</f>
        <v>7306000</v>
      </c>
      <c r="F50" s="139">
        <f t="shared" si="193"/>
        <v>7328590</v>
      </c>
      <c r="G50" s="139">
        <f t="shared" si="193"/>
        <v>0</v>
      </c>
      <c r="H50" s="139">
        <f t="shared" ref="H50" si="194">H51+H52+H53</f>
        <v>0</v>
      </c>
      <c r="I50" s="139">
        <f t="shared" si="193"/>
        <v>0</v>
      </c>
      <c r="J50" s="139">
        <f t="shared" si="193"/>
        <v>0</v>
      </c>
      <c r="K50" s="139"/>
      <c r="L50" s="139">
        <f t="shared" si="193"/>
        <v>0</v>
      </c>
      <c r="M50" s="139">
        <f t="shared" si="124"/>
        <v>6350000</v>
      </c>
      <c r="N50" s="139">
        <f t="shared" ref="N50:N55" si="195">D50+H50+L50</f>
        <v>5230000</v>
      </c>
      <c r="O50" s="139">
        <f t="shared" ref="O50:O55" si="196">E50+I50+M50</f>
        <v>13656000</v>
      </c>
      <c r="P50" s="139">
        <f t="shared" si="127"/>
        <v>7328590</v>
      </c>
      <c r="Q50" s="639" t="s">
        <v>13</v>
      </c>
      <c r="R50" s="728" t="s">
        <v>113</v>
      </c>
      <c r="S50" s="139">
        <f>+S51+S52</f>
        <v>0</v>
      </c>
      <c r="T50" s="139">
        <f>+T51+T52</f>
        <v>772700</v>
      </c>
      <c r="U50" s="139">
        <f>+U51+U52</f>
        <v>772700</v>
      </c>
      <c r="V50" s="139">
        <f>V51+V52+V53</f>
        <v>772700</v>
      </c>
      <c r="W50" s="139">
        <f t="shared" ref="W50" si="197">W51+W52+W53</f>
        <v>0</v>
      </c>
      <c r="X50" s="139">
        <f>X51+X52+X53</f>
        <v>0</v>
      </c>
      <c r="Y50" s="139">
        <f>Y51+Y52+Y53</f>
        <v>0</v>
      </c>
      <c r="Z50" s="139">
        <f>Z51+Z52+Z53</f>
        <v>0</v>
      </c>
      <c r="AA50" s="139">
        <f>AA51+AA52+AA53</f>
        <v>0</v>
      </c>
      <c r="AB50" s="139">
        <f>AB51+AB52+AB53</f>
        <v>0</v>
      </c>
      <c r="AC50" s="139">
        <f t="shared" si="130"/>
        <v>0</v>
      </c>
      <c r="AD50" s="139">
        <f t="shared" si="131"/>
        <v>772700</v>
      </c>
      <c r="AE50" s="139">
        <f t="shared" si="132"/>
        <v>772700</v>
      </c>
      <c r="AF50" s="139">
        <f t="shared" si="187"/>
        <v>772700</v>
      </c>
      <c r="AG50" s="639" t="s">
        <v>13</v>
      </c>
      <c r="AH50" s="599" t="s">
        <v>113</v>
      </c>
      <c r="AI50" s="139">
        <f>+AI51+AI52</f>
        <v>0</v>
      </c>
      <c r="AJ50" s="139">
        <f>+AJ51+AJ52</f>
        <v>60000</v>
      </c>
      <c r="AK50" s="139">
        <f>+AK51+AK52</f>
        <v>2100000</v>
      </c>
      <c r="AL50" s="139">
        <f>+AL51</f>
        <v>1980540</v>
      </c>
      <c r="AM50" s="139">
        <f t="shared" ref="AM50:AR50" si="198">AM51+AM52+AM53</f>
        <v>0</v>
      </c>
      <c r="AN50" s="139">
        <f t="shared" si="198"/>
        <v>0</v>
      </c>
      <c r="AO50" s="139">
        <f t="shared" si="198"/>
        <v>0</v>
      </c>
      <c r="AP50" s="139">
        <f t="shared" si="198"/>
        <v>0</v>
      </c>
      <c r="AQ50" s="139">
        <f t="shared" si="198"/>
        <v>0</v>
      </c>
      <c r="AR50" s="139">
        <f t="shared" si="198"/>
        <v>0</v>
      </c>
      <c r="AS50" s="139">
        <f t="shared" si="136"/>
        <v>0</v>
      </c>
      <c r="AT50" s="139">
        <f t="shared" si="137"/>
        <v>60000</v>
      </c>
      <c r="AU50" s="139">
        <f t="shared" si="138"/>
        <v>2100000</v>
      </c>
      <c r="AV50" s="139">
        <f t="shared" si="188"/>
        <v>1980540</v>
      </c>
      <c r="AW50" s="639" t="s">
        <v>13</v>
      </c>
      <c r="AX50" s="599" t="s">
        <v>113</v>
      </c>
      <c r="AY50" s="139">
        <f t="shared" ref="AY50:BH50" si="199">AY51+AY52+AY53</f>
        <v>0</v>
      </c>
      <c r="AZ50" s="139">
        <f t="shared" si="199"/>
        <v>390000</v>
      </c>
      <c r="BA50" s="139">
        <f t="shared" ref="BA50:BB50" si="200">BA51+BA52+BA53</f>
        <v>965000</v>
      </c>
      <c r="BB50" s="139">
        <f t="shared" si="200"/>
        <v>964300</v>
      </c>
      <c r="BC50" s="139">
        <f t="shared" si="199"/>
        <v>0</v>
      </c>
      <c r="BD50" s="139">
        <f t="shared" ref="BD50:BE50" si="201">BD51+BD52+BD53</f>
        <v>0</v>
      </c>
      <c r="BE50" s="139">
        <f t="shared" si="201"/>
        <v>0</v>
      </c>
      <c r="BF50" s="139">
        <f t="shared" si="199"/>
        <v>0</v>
      </c>
      <c r="BG50" s="139">
        <f t="shared" si="199"/>
        <v>0</v>
      </c>
      <c r="BH50" s="139">
        <f t="shared" si="199"/>
        <v>0</v>
      </c>
      <c r="BI50" s="139">
        <f t="shared" si="142"/>
        <v>0</v>
      </c>
      <c r="BJ50" s="139">
        <f t="shared" si="143"/>
        <v>390000</v>
      </c>
      <c r="BK50" s="139">
        <f t="shared" si="144"/>
        <v>965000</v>
      </c>
      <c r="BL50" s="139">
        <f t="shared" si="145"/>
        <v>964300</v>
      </c>
      <c r="BM50" s="639" t="s">
        <v>13</v>
      </c>
      <c r="BN50" s="599" t="s">
        <v>113</v>
      </c>
      <c r="BO50" s="139">
        <f>BO51+BO52+BO53</f>
        <v>0</v>
      </c>
      <c r="BP50" s="139">
        <f>BP51+BP52+BP53</f>
        <v>110000</v>
      </c>
      <c r="BQ50" s="139">
        <f>BQ51+BQ52+BQ53</f>
        <v>218000</v>
      </c>
      <c r="BR50" s="139">
        <f>+BR51</f>
        <v>295444</v>
      </c>
      <c r="BS50" s="139">
        <f>BS51+BS52+BS53</f>
        <v>0</v>
      </c>
      <c r="BT50" s="139">
        <f>BT51+BT52+BT53</f>
        <v>0</v>
      </c>
      <c r="BU50" s="139">
        <f>BU51+BU52+BU53</f>
        <v>0</v>
      </c>
      <c r="BV50" s="139">
        <f>BV51+BV52+BV53</f>
        <v>0</v>
      </c>
      <c r="BW50" s="139">
        <v>0</v>
      </c>
      <c r="BX50" s="139">
        <v>0</v>
      </c>
      <c r="BY50" s="139">
        <f t="shared" si="149"/>
        <v>0</v>
      </c>
      <c r="BZ50" s="139">
        <f t="shared" si="150"/>
        <v>110000</v>
      </c>
      <c r="CA50" s="139">
        <f t="shared" si="151"/>
        <v>218000</v>
      </c>
      <c r="CB50" s="139">
        <f t="shared" si="152"/>
        <v>295444</v>
      </c>
      <c r="CC50" s="639" t="s">
        <v>13</v>
      </c>
      <c r="CD50" s="599" t="s">
        <v>113</v>
      </c>
      <c r="CE50" s="139">
        <v>0</v>
      </c>
      <c r="CF50" s="139">
        <f>+CF51+CF52</f>
        <v>88900</v>
      </c>
      <c r="CG50" s="139">
        <f>+CG51+CG52</f>
        <v>1135000</v>
      </c>
      <c r="CH50" s="139">
        <f>+CH51</f>
        <v>1491102</v>
      </c>
      <c r="CI50" s="139">
        <f t="shared" ref="CI50:CN50" si="202">CI51+CI52+CI53</f>
        <v>0</v>
      </c>
      <c r="CJ50" s="139">
        <f t="shared" si="202"/>
        <v>0</v>
      </c>
      <c r="CK50" s="139">
        <f t="shared" si="202"/>
        <v>0</v>
      </c>
      <c r="CL50" s="139">
        <f t="shared" si="202"/>
        <v>0</v>
      </c>
      <c r="CM50" s="139">
        <f t="shared" si="202"/>
        <v>0</v>
      </c>
      <c r="CN50" s="139">
        <f t="shared" si="202"/>
        <v>0</v>
      </c>
      <c r="CO50" s="139">
        <f t="shared" si="156"/>
        <v>0</v>
      </c>
      <c r="CP50" s="139">
        <f t="shared" si="157"/>
        <v>88900</v>
      </c>
      <c r="CQ50" s="139">
        <f t="shared" si="158"/>
        <v>1135000</v>
      </c>
      <c r="CR50" s="139">
        <f t="shared" si="159"/>
        <v>1491102</v>
      </c>
      <c r="CS50" s="639" t="s">
        <v>13</v>
      </c>
      <c r="CT50" s="599" t="s">
        <v>113</v>
      </c>
      <c r="CU50" s="139">
        <f t="shared" ref="CU50:DD50" si="203">CU51+CU52+CU53</f>
        <v>1575000</v>
      </c>
      <c r="CV50" s="139">
        <f t="shared" ref="CV50:CX50" si="204">CV51+CV52+CV53</f>
        <v>1893750</v>
      </c>
      <c r="CW50" s="139">
        <f t="shared" si="204"/>
        <v>2155000</v>
      </c>
      <c r="CX50" s="139">
        <f t="shared" si="204"/>
        <v>2153460</v>
      </c>
      <c r="CY50" s="139">
        <f t="shared" si="203"/>
        <v>0</v>
      </c>
      <c r="CZ50" s="139">
        <f t="shared" ref="CZ50:DA50" si="205">CZ51+CZ52+CZ53</f>
        <v>0</v>
      </c>
      <c r="DA50" s="139">
        <f t="shared" si="205"/>
        <v>0</v>
      </c>
      <c r="DB50" s="139">
        <f t="shared" si="203"/>
        <v>0</v>
      </c>
      <c r="DC50" s="139">
        <f t="shared" si="203"/>
        <v>0</v>
      </c>
      <c r="DD50" s="139">
        <f t="shared" si="203"/>
        <v>0</v>
      </c>
      <c r="DE50" s="134">
        <f t="shared" si="163"/>
        <v>1575000</v>
      </c>
      <c r="DF50" s="134">
        <f t="shared" si="164"/>
        <v>1893750</v>
      </c>
      <c r="DG50" s="134">
        <f t="shared" si="165"/>
        <v>2155000</v>
      </c>
      <c r="DH50" s="134">
        <f t="shared" si="166"/>
        <v>2153460</v>
      </c>
      <c r="DI50" s="639" t="s">
        <v>13</v>
      </c>
      <c r="DJ50" s="599" t="s">
        <v>113</v>
      </c>
      <c r="DK50" s="139">
        <f t="shared" ref="DK50:DT50" si="206">DK51+DK52+DK53</f>
        <v>0</v>
      </c>
      <c r="DL50" s="139">
        <f t="shared" si="206"/>
        <v>76000</v>
      </c>
      <c r="DM50" s="139">
        <f t="shared" ref="DM50" si="207">DM51+DM52+DM53</f>
        <v>476000</v>
      </c>
      <c r="DN50" s="139">
        <f>+DN51</f>
        <v>715605</v>
      </c>
      <c r="DO50" s="139">
        <f t="shared" si="206"/>
        <v>0</v>
      </c>
      <c r="DP50" s="139">
        <f t="shared" ref="DP50:DQ50" si="208">DP51+DP52+DP53</f>
        <v>0</v>
      </c>
      <c r="DQ50" s="139">
        <f t="shared" si="208"/>
        <v>0</v>
      </c>
      <c r="DR50" s="139">
        <f t="shared" si="206"/>
        <v>0</v>
      </c>
      <c r="DS50" s="139">
        <f t="shared" si="206"/>
        <v>0</v>
      </c>
      <c r="DT50" s="139">
        <f t="shared" si="206"/>
        <v>0</v>
      </c>
      <c r="DU50" s="134">
        <f t="shared" si="170"/>
        <v>0</v>
      </c>
      <c r="DV50" s="134">
        <f t="shared" si="171"/>
        <v>76000</v>
      </c>
      <c r="DW50" s="134">
        <f t="shared" si="172"/>
        <v>476000</v>
      </c>
      <c r="DX50" s="134">
        <f t="shared" si="173"/>
        <v>715605</v>
      </c>
      <c r="DY50" s="639" t="s">
        <v>13</v>
      </c>
      <c r="DZ50" s="599" t="s">
        <v>113</v>
      </c>
      <c r="EA50" s="320">
        <f t="shared" si="189"/>
        <v>7925000</v>
      </c>
      <c r="EB50" s="320">
        <f t="shared" si="174"/>
        <v>8621350</v>
      </c>
      <c r="EC50" s="320">
        <f t="shared" si="175"/>
        <v>15127700</v>
      </c>
      <c r="ED50" s="320">
        <f t="shared" si="176"/>
        <v>15701741</v>
      </c>
      <c r="EE50" s="320">
        <f t="shared" si="177"/>
        <v>0</v>
      </c>
      <c r="EF50" s="320">
        <f t="shared" si="178"/>
        <v>0</v>
      </c>
      <c r="EG50" s="320">
        <f t="shared" si="179"/>
        <v>0</v>
      </c>
      <c r="EH50" s="320">
        <f t="shared" si="180"/>
        <v>0</v>
      </c>
      <c r="EI50" s="320">
        <f t="shared" si="181"/>
        <v>0</v>
      </c>
      <c r="EJ50" s="320">
        <f t="shared" si="182"/>
        <v>0</v>
      </c>
      <c r="EK50" s="320">
        <f t="shared" si="183"/>
        <v>7925000</v>
      </c>
      <c r="EL50" s="320">
        <f t="shared" si="184"/>
        <v>8621350</v>
      </c>
      <c r="EM50" s="320">
        <f t="shared" si="185"/>
        <v>21477700</v>
      </c>
      <c r="EN50" s="320">
        <f t="shared" si="186"/>
        <v>15701741</v>
      </c>
    </row>
    <row r="51" spans="1:144" x14ac:dyDescent="0.25">
      <c r="A51" s="638" t="s">
        <v>54</v>
      </c>
      <c r="B51" s="727" t="s">
        <v>10</v>
      </c>
      <c r="C51" s="29">
        <v>6350000</v>
      </c>
      <c r="D51" s="144">
        <v>5230000</v>
      </c>
      <c r="E51" s="29">
        <v>7306000</v>
      </c>
      <c r="F51" s="29">
        <v>7328590</v>
      </c>
      <c r="G51" s="29">
        <v>0</v>
      </c>
      <c r="H51" s="29">
        <v>0</v>
      </c>
      <c r="I51" s="29">
        <v>0</v>
      </c>
      <c r="J51" s="29">
        <v>0</v>
      </c>
      <c r="K51" s="29"/>
      <c r="L51" s="29">
        <v>0</v>
      </c>
      <c r="M51" s="17">
        <f t="shared" si="124"/>
        <v>6350000</v>
      </c>
      <c r="N51" s="139">
        <f t="shared" si="195"/>
        <v>5230000</v>
      </c>
      <c r="O51" s="139">
        <f t="shared" si="196"/>
        <v>13656000</v>
      </c>
      <c r="P51" s="139">
        <f t="shared" si="127"/>
        <v>7328590</v>
      </c>
      <c r="Q51" s="638" t="s">
        <v>54</v>
      </c>
      <c r="R51" s="727" t="s">
        <v>10</v>
      </c>
      <c r="S51" s="29">
        <v>0</v>
      </c>
      <c r="T51" s="144">
        <v>772700</v>
      </c>
      <c r="U51" s="144">
        <v>772700</v>
      </c>
      <c r="V51" s="29">
        <f>+U51</f>
        <v>772700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29">
        <v>0</v>
      </c>
      <c r="AC51" s="139">
        <f t="shared" si="130"/>
        <v>0</v>
      </c>
      <c r="AD51" s="139">
        <f t="shared" si="131"/>
        <v>772700</v>
      </c>
      <c r="AE51" s="139">
        <f t="shared" si="132"/>
        <v>772700</v>
      </c>
      <c r="AF51" s="139">
        <f t="shared" si="187"/>
        <v>772700</v>
      </c>
      <c r="AG51" s="638" t="s">
        <v>54</v>
      </c>
      <c r="AH51" s="598" t="s">
        <v>10</v>
      </c>
      <c r="AI51" s="29">
        <v>0</v>
      </c>
      <c r="AJ51" s="29">
        <v>60000</v>
      </c>
      <c r="AK51" s="29">
        <v>2100000</v>
      </c>
      <c r="AL51" s="29">
        <v>1980540</v>
      </c>
      <c r="AM51" s="29">
        <v>0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17">
        <f t="shared" si="136"/>
        <v>0</v>
      </c>
      <c r="AT51" s="139">
        <f t="shared" si="137"/>
        <v>60000</v>
      </c>
      <c r="AU51" s="139">
        <f t="shared" si="138"/>
        <v>2100000</v>
      </c>
      <c r="AV51" s="139">
        <f t="shared" si="188"/>
        <v>1980540</v>
      </c>
      <c r="AW51" s="638" t="s">
        <v>54</v>
      </c>
      <c r="AX51" s="598" t="s">
        <v>10</v>
      </c>
      <c r="AY51" s="29">
        <v>0</v>
      </c>
      <c r="AZ51" s="29">
        <v>390000</v>
      </c>
      <c r="BA51" s="29">
        <v>965000</v>
      </c>
      <c r="BB51" s="29">
        <v>964300</v>
      </c>
      <c r="BC51" s="29">
        <v>0</v>
      </c>
      <c r="BD51" s="29">
        <v>0</v>
      </c>
      <c r="BE51" s="29">
        <v>0</v>
      </c>
      <c r="BF51" s="29">
        <v>0</v>
      </c>
      <c r="BG51" s="29">
        <v>0</v>
      </c>
      <c r="BH51" s="29">
        <v>0</v>
      </c>
      <c r="BI51" s="17">
        <f t="shared" si="142"/>
        <v>0</v>
      </c>
      <c r="BJ51" s="139">
        <f t="shared" si="143"/>
        <v>390000</v>
      </c>
      <c r="BK51" s="139">
        <f t="shared" si="144"/>
        <v>965000</v>
      </c>
      <c r="BL51" s="139">
        <f t="shared" si="145"/>
        <v>964300</v>
      </c>
      <c r="BM51" s="638" t="s">
        <v>54</v>
      </c>
      <c r="BN51" s="598" t="s">
        <v>10</v>
      </c>
      <c r="BO51" s="29">
        <v>0</v>
      </c>
      <c r="BP51" s="29">
        <v>110000</v>
      </c>
      <c r="BQ51" s="29">
        <v>218000</v>
      </c>
      <c r="BR51" s="29">
        <v>295444</v>
      </c>
      <c r="BS51" s="29">
        <v>0</v>
      </c>
      <c r="BT51" s="29">
        <v>0</v>
      </c>
      <c r="BU51" s="29">
        <v>0</v>
      </c>
      <c r="BV51" s="29">
        <v>0</v>
      </c>
      <c r="BW51" s="29">
        <v>0</v>
      </c>
      <c r="BX51" s="29">
        <v>0</v>
      </c>
      <c r="BY51" s="17">
        <f t="shared" si="149"/>
        <v>0</v>
      </c>
      <c r="BZ51" s="139">
        <f t="shared" si="150"/>
        <v>110000</v>
      </c>
      <c r="CA51" s="139">
        <f t="shared" si="151"/>
        <v>218000</v>
      </c>
      <c r="CB51" s="139">
        <f t="shared" si="152"/>
        <v>295444</v>
      </c>
      <c r="CC51" s="638" t="s">
        <v>54</v>
      </c>
      <c r="CD51" s="598" t="s">
        <v>10</v>
      </c>
      <c r="CE51" s="29">
        <v>0</v>
      </c>
      <c r="CF51" s="29">
        <v>88900</v>
      </c>
      <c r="CG51" s="29">
        <v>1135000</v>
      </c>
      <c r="CH51" s="29">
        <v>1491102</v>
      </c>
      <c r="CI51" s="29">
        <v>0</v>
      </c>
      <c r="CJ51" s="29">
        <v>0</v>
      </c>
      <c r="CK51" s="29">
        <v>0</v>
      </c>
      <c r="CL51" s="29">
        <v>0</v>
      </c>
      <c r="CM51" s="29">
        <v>0</v>
      </c>
      <c r="CN51" s="29">
        <v>0</v>
      </c>
      <c r="CO51" s="17">
        <f t="shared" si="156"/>
        <v>0</v>
      </c>
      <c r="CP51" s="139">
        <f t="shared" si="157"/>
        <v>88900</v>
      </c>
      <c r="CQ51" s="139">
        <f t="shared" si="158"/>
        <v>1135000</v>
      </c>
      <c r="CR51" s="139">
        <f t="shared" si="159"/>
        <v>1491102</v>
      </c>
      <c r="CS51" s="638" t="s">
        <v>54</v>
      </c>
      <c r="CT51" s="598" t="s">
        <v>10</v>
      </c>
      <c r="CU51" s="29">
        <v>1575000</v>
      </c>
      <c r="CV51" s="29">
        <v>1893750</v>
      </c>
      <c r="CW51" s="29">
        <v>2155000</v>
      </c>
      <c r="CX51" s="29">
        <v>2153460</v>
      </c>
      <c r="CY51" s="29">
        <v>0</v>
      </c>
      <c r="CZ51" s="29">
        <v>0</v>
      </c>
      <c r="DA51" s="29">
        <v>0</v>
      </c>
      <c r="DB51" s="29">
        <v>0</v>
      </c>
      <c r="DC51" s="29">
        <v>0</v>
      </c>
      <c r="DD51" s="29">
        <v>0</v>
      </c>
      <c r="DE51" s="134">
        <f t="shared" si="163"/>
        <v>1575000</v>
      </c>
      <c r="DF51" s="134">
        <f t="shared" si="164"/>
        <v>1893750</v>
      </c>
      <c r="DG51" s="134">
        <f t="shared" si="165"/>
        <v>2155000</v>
      </c>
      <c r="DH51" s="134">
        <f t="shared" si="166"/>
        <v>2153460</v>
      </c>
      <c r="DI51" s="638" t="s">
        <v>54</v>
      </c>
      <c r="DJ51" s="598" t="s">
        <v>10</v>
      </c>
      <c r="DK51" s="29">
        <v>0</v>
      </c>
      <c r="DL51" s="144">
        <v>76000</v>
      </c>
      <c r="DM51" s="29">
        <v>476000</v>
      </c>
      <c r="DN51" s="29">
        <v>715605</v>
      </c>
      <c r="DO51" s="29">
        <v>0</v>
      </c>
      <c r="DP51" s="29">
        <v>0</v>
      </c>
      <c r="DQ51" s="29">
        <v>0</v>
      </c>
      <c r="DR51" s="29">
        <v>0</v>
      </c>
      <c r="DS51" s="29">
        <v>0</v>
      </c>
      <c r="DT51" s="29">
        <v>0</v>
      </c>
      <c r="DU51" s="134">
        <f t="shared" si="170"/>
        <v>0</v>
      </c>
      <c r="DV51" s="134">
        <f t="shared" si="171"/>
        <v>76000</v>
      </c>
      <c r="DW51" s="134">
        <f t="shared" si="172"/>
        <v>476000</v>
      </c>
      <c r="DX51" s="134">
        <f t="shared" si="173"/>
        <v>715605</v>
      </c>
      <c r="DY51" s="638" t="s">
        <v>54</v>
      </c>
      <c r="DZ51" s="598" t="s">
        <v>10</v>
      </c>
      <c r="EA51" s="96">
        <f t="shared" si="189"/>
        <v>7925000</v>
      </c>
      <c r="EB51" s="96">
        <f t="shared" si="174"/>
        <v>8621350</v>
      </c>
      <c r="EC51" s="96">
        <f t="shared" si="175"/>
        <v>15127700</v>
      </c>
      <c r="ED51" s="96">
        <f t="shared" si="176"/>
        <v>15701741</v>
      </c>
      <c r="EE51" s="96">
        <f t="shared" si="177"/>
        <v>0</v>
      </c>
      <c r="EF51" s="96">
        <f t="shared" si="178"/>
        <v>0</v>
      </c>
      <c r="EG51" s="96">
        <f t="shared" si="179"/>
        <v>0</v>
      </c>
      <c r="EH51" s="96">
        <f t="shared" si="180"/>
        <v>0</v>
      </c>
      <c r="EI51" s="96">
        <f t="shared" si="181"/>
        <v>0</v>
      </c>
      <c r="EJ51" s="96">
        <f t="shared" si="182"/>
        <v>0</v>
      </c>
      <c r="EK51" s="96">
        <f t="shared" si="183"/>
        <v>7925000</v>
      </c>
      <c r="EL51" s="96">
        <f t="shared" si="184"/>
        <v>8621350</v>
      </c>
      <c r="EM51" s="96">
        <f t="shared" si="185"/>
        <v>21477700</v>
      </c>
      <c r="EN51" s="96">
        <f t="shared" si="186"/>
        <v>15701741</v>
      </c>
    </row>
    <row r="52" spans="1:144" x14ac:dyDescent="0.25">
      <c r="A52" s="638" t="s">
        <v>55</v>
      </c>
      <c r="B52" s="727" t="s">
        <v>11</v>
      </c>
      <c r="C52" s="144">
        <v>0</v>
      </c>
      <c r="D52" s="144">
        <v>0</v>
      </c>
      <c r="E52" s="144">
        <v>0</v>
      </c>
      <c r="F52" s="144">
        <v>0</v>
      </c>
      <c r="G52" s="29">
        <v>0</v>
      </c>
      <c r="H52" s="29">
        <v>0</v>
      </c>
      <c r="I52" s="29">
        <v>0</v>
      </c>
      <c r="J52" s="29">
        <v>0</v>
      </c>
      <c r="K52" s="29"/>
      <c r="L52" s="29">
        <v>0</v>
      </c>
      <c r="M52" s="17">
        <f t="shared" si="124"/>
        <v>0</v>
      </c>
      <c r="N52" s="139">
        <f t="shared" si="195"/>
        <v>0</v>
      </c>
      <c r="O52" s="139">
        <f t="shared" si="196"/>
        <v>0</v>
      </c>
      <c r="P52" s="139">
        <f t="shared" si="127"/>
        <v>0</v>
      </c>
      <c r="Q52" s="638" t="s">
        <v>55</v>
      </c>
      <c r="R52" s="727" t="s">
        <v>11</v>
      </c>
      <c r="S52" s="17">
        <v>0</v>
      </c>
      <c r="T52" s="139">
        <v>0</v>
      </c>
      <c r="U52" s="139">
        <v>0</v>
      </c>
      <c r="V52" s="29">
        <v>0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29">
        <v>0</v>
      </c>
      <c r="AC52" s="139">
        <f t="shared" si="130"/>
        <v>0</v>
      </c>
      <c r="AD52" s="139">
        <f t="shared" si="131"/>
        <v>0</v>
      </c>
      <c r="AE52" s="139">
        <f t="shared" si="132"/>
        <v>0</v>
      </c>
      <c r="AF52" s="139">
        <f t="shared" si="187"/>
        <v>0</v>
      </c>
      <c r="AG52" s="638" t="s">
        <v>55</v>
      </c>
      <c r="AH52" s="598" t="s">
        <v>11</v>
      </c>
      <c r="AI52" s="17">
        <v>0</v>
      </c>
      <c r="AJ52" s="139">
        <v>0</v>
      </c>
      <c r="AK52" s="139">
        <v>0</v>
      </c>
      <c r="AL52" s="139"/>
      <c r="AM52" s="29">
        <v>0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17">
        <f t="shared" si="136"/>
        <v>0</v>
      </c>
      <c r="AT52" s="139">
        <f t="shared" si="137"/>
        <v>0</v>
      </c>
      <c r="AU52" s="139">
        <f t="shared" si="138"/>
        <v>0</v>
      </c>
      <c r="AV52" s="139">
        <f t="shared" si="188"/>
        <v>0</v>
      </c>
      <c r="AW52" s="638" t="s">
        <v>55</v>
      </c>
      <c r="AX52" s="598" t="s">
        <v>11</v>
      </c>
      <c r="AY52" s="52">
        <v>0</v>
      </c>
      <c r="AZ52" s="144">
        <v>0</v>
      </c>
      <c r="BA52" s="144">
        <v>0</v>
      </c>
      <c r="BB52" s="144"/>
      <c r="BC52" s="29">
        <v>0</v>
      </c>
      <c r="BD52" s="29">
        <v>0</v>
      </c>
      <c r="BE52" s="29">
        <v>0</v>
      </c>
      <c r="BF52" s="29">
        <v>0</v>
      </c>
      <c r="BG52" s="29">
        <v>0</v>
      </c>
      <c r="BH52" s="29">
        <v>0</v>
      </c>
      <c r="BI52" s="17">
        <f t="shared" si="142"/>
        <v>0</v>
      </c>
      <c r="BJ52" s="139">
        <f t="shared" si="143"/>
        <v>0</v>
      </c>
      <c r="BK52" s="139">
        <f t="shared" si="144"/>
        <v>0</v>
      </c>
      <c r="BL52" s="139">
        <f t="shared" si="145"/>
        <v>0</v>
      </c>
      <c r="BM52" s="638" t="s">
        <v>55</v>
      </c>
      <c r="BN52" s="598" t="s">
        <v>11</v>
      </c>
      <c r="BO52" s="52">
        <v>0</v>
      </c>
      <c r="BP52" s="144">
        <v>0</v>
      </c>
      <c r="BQ52" s="144">
        <v>0</v>
      </c>
      <c r="BR52" s="144"/>
      <c r="BS52" s="29">
        <v>0</v>
      </c>
      <c r="BT52" s="29">
        <v>0</v>
      </c>
      <c r="BU52" s="29">
        <v>0</v>
      </c>
      <c r="BV52" s="29">
        <v>0</v>
      </c>
      <c r="BW52" s="29">
        <v>0</v>
      </c>
      <c r="BX52" s="29">
        <v>0</v>
      </c>
      <c r="BY52" s="17">
        <f t="shared" si="149"/>
        <v>0</v>
      </c>
      <c r="BZ52" s="139">
        <f t="shared" si="150"/>
        <v>0</v>
      </c>
      <c r="CA52" s="139">
        <f t="shared" si="151"/>
        <v>0</v>
      </c>
      <c r="CB52" s="139">
        <f t="shared" si="152"/>
        <v>0</v>
      </c>
      <c r="CC52" s="638" t="s">
        <v>55</v>
      </c>
      <c r="CD52" s="598" t="s">
        <v>11</v>
      </c>
      <c r="CE52" s="52">
        <v>0</v>
      </c>
      <c r="CF52" s="144">
        <v>0</v>
      </c>
      <c r="CG52" s="144">
        <v>0</v>
      </c>
      <c r="CH52" s="144"/>
      <c r="CI52" s="29">
        <v>0</v>
      </c>
      <c r="CJ52" s="29">
        <v>0</v>
      </c>
      <c r="CK52" s="29">
        <v>0</v>
      </c>
      <c r="CL52" s="29">
        <v>0</v>
      </c>
      <c r="CM52" s="29">
        <v>0</v>
      </c>
      <c r="CN52" s="29">
        <v>0</v>
      </c>
      <c r="CO52" s="17">
        <f t="shared" si="156"/>
        <v>0</v>
      </c>
      <c r="CP52" s="139">
        <f t="shared" si="157"/>
        <v>0</v>
      </c>
      <c r="CQ52" s="139">
        <f t="shared" si="158"/>
        <v>0</v>
      </c>
      <c r="CR52" s="139">
        <f t="shared" si="159"/>
        <v>0</v>
      </c>
      <c r="CS52" s="638" t="s">
        <v>55</v>
      </c>
      <c r="CT52" s="598" t="s">
        <v>11</v>
      </c>
      <c r="CU52" s="52">
        <v>0</v>
      </c>
      <c r="CV52" s="144">
        <v>0</v>
      </c>
      <c r="CW52" s="144">
        <v>0</v>
      </c>
      <c r="CX52" s="144"/>
      <c r="CY52" s="29">
        <v>0</v>
      </c>
      <c r="CZ52" s="29">
        <v>0</v>
      </c>
      <c r="DA52" s="29">
        <v>0</v>
      </c>
      <c r="DB52" s="29">
        <v>0</v>
      </c>
      <c r="DC52" s="29">
        <v>0</v>
      </c>
      <c r="DD52" s="29">
        <v>0</v>
      </c>
      <c r="DE52" s="134">
        <f t="shared" si="163"/>
        <v>0</v>
      </c>
      <c r="DF52" s="134">
        <f t="shared" si="164"/>
        <v>0</v>
      </c>
      <c r="DG52" s="134">
        <f t="shared" si="165"/>
        <v>0</v>
      </c>
      <c r="DH52" s="134">
        <f t="shared" si="166"/>
        <v>0</v>
      </c>
      <c r="DI52" s="638" t="s">
        <v>55</v>
      </c>
      <c r="DJ52" s="598" t="s">
        <v>11</v>
      </c>
      <c r="DK52" s="144">
        <v>0</v>
      </c>
      <c r="DL52" s="144">
        <v>0</v>
      </c>
      <c r="DM52" s="144">
        <v>0</v>
      </c>
      <c r="DN52" s="144"/>
      <c r="DO52" s="29">
        <v>0</v>
      </c>
      <c r="DP52" s="29">
        <v>0</v>
      </c>
      <c r="DQ52" s="29">
        <v>0</v>
      </c>
      <c r="DR52" s="29">
        <v>0</v>
      </c>
      <c r="DS52" s="29">
        <v>0</v>
      </c>
      <c r="DT52" s="29">
        <v>0</v>
      </c>
      <c r="DU52" s="134">
        <f t="shared" si="170"/>
        <v>0</v>
      </c>
      <c r="DV52" s="134">
        <f t="shared" si="171"/>
        <v>0</v>
      </c>
      <c r="DW52" s="134">
        <f t="shared" si="172"/>
        <v>0</v>
      </c>
      <c r="DX52" s="134">
        <f t="shared" si="173"/>
        <v>0</v>
      </c>
      <c r="DY52" s="638" t="s">
        <v>55</v>
      </c>
      <c r="DZ52" s="598" t="s">
        <v>11</v>
      </c>
      <c r="EA52" s="96">
        <f t="shared" si="189"/>
        <v>0</v>
      </c>
      <c r="EB52" s="96">
        <f t="shared" si="174"/>
        <v>0</v>
      </c>
      <c r="EC52" s="96">
        <f t="shared" si="175"/>
        <v>0</v>
      </c>
      <c r="ED52" s="96">
        <f t="shared" si="176"/>
        <v>0</v>
      </c>
      <c r="EE52" s="96">
        <f t="shared" si="177"/>
        <v>0</v>
      </c>
      <c r="EF52" s="96">
        <f t="shared" si="178"/>
        <v>0</v>
      </c>
      <c r="EG52" s="96">
        <f t="shared" si="179"/>
        <v>0</v>
      </c>
      <c r="EH52" s="96">
        <f t="shared" si="180"/>
        <v>0</v>
      </c>
      <c r="EI52" s="96">
        <f t="shared" si="181"/>
        <v>0</v>
      </c>
      <c r="EJ52" s="96">
        <f t="shared" si="182"/>
        <v>0</v>
      </c>
      <c r="EK52" s="96">
        <f t="shared" si="183"/>
        <v>0</v>
      </c>
      <c r="EL52" s="96">
        <f t="shared" si="184"/>
        <v>0</v>
      </c>
      <c r="EM52" s="96">
        <f t="shared" si="185"/>
        <v>0</v>
      </c>
      <c r="EN52" s="96">
        <f t="shared" si="186"/>
        <v>0</v>
      </c>
    </row>
    <row r="53" spans="1:144" x14ac:dyDescent="0.25">
      <c r="A53" s="638" t="s">
        <v>64</v>
      </c>
      <c r="B53" s="727" t="s">
        <v>114</v>
      </c>
      <c r="C53" s="29">
        <v>0</v>
      </c>
      <c r="D53" s="144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/>
      <c r="L53" s="29">
        <v>0</v>
      </c>
      <c r="M53" s="17">
        <f t="shared" si="124"/>
        <v>0</v>
      </c>
      <c r="N53" s="139">
        <f t="shared" si="195"/>
        <v>0</v>
      </c>
      <c r="O53" s="139">
        <f t="shared" si="196"/>
        <v>0</v>
      </c>
      <c r="P53" s="139">
        <f t="shared" si="127"/>
        <v>0</v>
      </c>
      <c r="Q53" s="638" t="s">
        <v>64</v>
      </c>
      <c r="R53" s="727" t="s">
        <v>114</v>
      </c>
      <c r="S53" s="29">
        <v>0</v>
      </c>
      <c r="T53" s="144">
        <v>0</v>
      </c>
      <c r="U53" s="144">
        <v>0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139">
        <f t="shared" si="130"/>
        <v>0</v>
      </c>
      <c r="AD53" s="139">
        <f t="shared" si="131"/>
        <v>0</v>
      </c>
      <c r="AE53" s="139">
        <f t="shared" si="132"/>
        <v>0</v>
      </c>
      <c r="AF53" s="139">
        <f t="shared" si="187"/>
        <v>0</v>
      </c>
      <c r="AG53" s="638" t="s">
        <v>64</v>
      </c>
      <c r="AH53" s="598" t="s">
        <v>114</v>
      </c>
      <c r="AI53" s="29">
        <v>0</v>
      </c>
      <c r="AJ53" s="29">
        <v>0</v>
      </c>
      <c r="AK53" s="29">
        <v>0</v>
      </c>
      <c r="AL53" s="29"/>
      <c r="AM53" s="29">
        <v>0</v>
      </c>
      <c r="AN53" s="29">
        <v>0</v>
      </c>
      <c r="AO53" s="29">
        <v>0</v>
      </c>
      <c r="AP53" s="29">
        <v>0</v>
      </c>
      <c r="AQ53" s="29">
        <v>0</v>
      </c>
      <c r="AR53" s="29">
        <v>0</v>
      </c>
      <c r="AS53" s="17">
        <f t="shared" si="136"/>
        <v>0</v>
      </c>
      <c r="AT53" s="139">
        <f t="shared" si="137"/>
        <v>0</v>
      </c>
      <c r="AU53" s="139">
        <f t="shared" si="138"/>
        <v>0</v>
      </c>
      <c r="AV53" s="139">
        <f t="shared" si="188"/>
        <v>0</v>
      </c>
      <c r="AW53" s="638" t="s">
        <v>64</v>
      </c>
      <c r="AX53" s="598" t="s">
        <v>114</v>
      </c>
      <c r="AY53" s="29">
        <v>0</v>
      </c>
      <c r="AZ53" s="29">
        <v>0</v>
      </c>
      <c r="BA53" s="29">
        <v>0</v>
      </c>
      <c r="BB53" s="29"/>
      <c r="BC53" s="29">
        <v>0</v>
      </c>
      <c r="BD53" s="29">
        <v>0</v>
      </c>
      <c r="BE53" s="29">
        <v>0</v>
      </c>
      <c r="BF53" s="29">
        <v>0</v>
      </c>
      <c r="BG53" s="29">
        <v>0</v>
      </c>
      <c r="BH53" s="29">
        <v>0</v>
      </c>
      <c r="BI53" s="17">
        <f t="shared" si="142"/>
        <v>0</v>
      </c>
      <c r="BJ53" s="139">
        <f t="shared" si="143"/>
        <v>0</v>
      </c>
      <c r="BK53" s="139">
        <f t="shared" si="144"/>
        <v>0</v>
      </c>
      <c r="BL53" s="139">
        <f t="shared" si="145"/>
        <v>0</v>
      </c>
      <c r="BM53" s="638" t="s">
        <v>64</v>
      </c>
      <c r="BN53" s="598" t="s">
        <v>114</v>
      </c>
      <c r="BO53" s="29">
        <v>0</v>
      </c>
      <c r="BP53" s="29">
        <v>0</v>
      </c>
      <c r="BQ53" s="29">
        <v>0</v>
      </c>
      <c r="BR53" s="29"/>
      <c r="BS53" s="29">
        <v>0</v>
      </c>
      <c r="BT53" s="29">
        <v>0</v>
      </c>
      <c r="BU53" s="29">
        <v>0</v>
      </c>
      <c r="BV53" s="29">
        <v>0</v>
      </c>
      <c r="BW53" s="29">
        <v>0</v>
      </c>
      <c r="BX53" s="29">
        <v>0</v>
      </c>
      <c r="BY53" s="17">
        <f t="shared" si="149"/>
        <v>0</v>
      </c>
      <c r="BZ53" s="139">
        <f t="shared" si="150"/>
        <v>0</v>
      </c>
      <c r="CA53" s="139">
        <f t="shared" si="151"/>
        <v>0</v>
      </c>
      <c r="CB53" s="139">
        <f t="shared" si="152"/>
        <v>0</v>
      </c>
      <c r="CC53" s="638" t="s">
        <v>64</v>
      </c>
      <c r="CD53" s="598" t="s">
        <v>114</v>
      </c>
      <c r="CE53" s="29">
        <v>0</v>
      </c>
      <c r="CF53" s="29">
        <v>0</v>
      </c>
      <c r="CG53" s="29">
        <v>0</v>
      </c>
      <c r="CH53" s="29"/>
      <c r="CI53" s="29">
        <v>0</v>
      </c>
      <c r="CJ53" s="29">
        <v>0</v>
      </c>
      <c r="CK53" s="29">
        <v>0</v>
      </c>
      <c r="CL53" s="29">
        <v>0</v>
      </c>
      <c r="CM53" s="29">
        <v>0</v>
      </c>
      <c r="CN53" s="29">
        <v>0</v>
      </c>
      <c r="CO53" s="17">
        <f t="shared" si="156"/>
        <v>0</v>
      </c>
      <c r="CP53" s="139">
        <f t="shared" si="157"/>
        <v>0</v>
      </c>
      <c r="CQ53" s="139">
        <f t="shared" si="158"/>
        <v>0</v>
      </c>
      <c r="CR53" s="139">
        <f t="shared" si="159"/>
        <v>0</v>
      </c>
      <c r="CS53" s="638" t="s">
        <v>64</v>
      </c>
      <c r="CT53" s="598" t="s">
        <v>114</v>
      </c>
      <c r="CU53" s="29">
        <v>0</v>
      </c>
      <c r="CV53" s="29">
        <v>0</v>
      </c>
      <c r="CW53" s="29">
        <v>0</v>
      </c>
      <c r="CX53" s="29"/>
      <c r="CY53" s="29">
        <v>0</v>
      </c>
      <c r="CZ53" s="29">
        <v>0</v>
      </c>
      <c r="DA53" s="29">
        <v>0</v>
      </c>
      <c r="DB53" s="29">
        <v>0</v>
      </c>
      <c r="DC53" s="29">
        <v>0</v>
      </c>
      <c r="DD53" s="29">
        <v>0</v>
      </c>
      <c r="DE53" s="134">
        <f t="shared" si="163"/>
        <v>0</v>
      </c>
      <c r="DF53" s="134">
        <f t="shared" si="164"/>
        <v>0</v>
      </c>
      <c r="DG53" s="134">
        <f t="shared" si="165"/>
        <v>0</v>
      </c>
      <c r="DH53" s="134">
        <f t="shared" si="166"/>
        <v>0</v>
      </c>
      <c r="DI53" s="638" t="s">
        <v>64</v>
      </c>
      <c r="DJ53" s="598" t="s">
        <v>114</v>
      </c>
      <c r="DK53" s="29">
        <v>0</v>
      </c>
      <c r="DL53" s="144">
        <v>0</v>
      </c>
      <c r="DM53" s="29">
        <v>0</v>
      </c>
      <c r="DN53" s="29"/>
      <c r="DO53" s="29">
        <v>0</v>
      </c>
      <c r="DP53" s="29">
        <v>0</v>
      </c>
      <c r="DQ53" s="29">
        <v>0</v>
      </c>
      <c r="DR53" s="29">
        <v>0</v>
      </c>
      <c r="DS53" s="29">
        <v>0</v>
      </c>
      <c r="DT53" s="29">
        <v>0</v>
      </c>
      <c r="DU53" s="134">
        <f t="shared" si="170"/>
        <v>0</v>
      </c>
      <c r="DV53" s="134">
        <f t="shared" si="171"/>
        <v>0</v>
      </c>
      <c r="DW53" s="134">
        <f t="shared" si="172"/>
        <v>0</v>
      </c>
      <c r="DX53" s="134">
        <f t="shared" si="173"/>
        <v>0</v>
      </c>
      <c r="DY53" s="638" t="s">
        <v>64</v>
      </c>
      <c r="DZ53" s="598" t="s">
        <v>114</v>
      </c>
      <c r="EA53" s="96">
        <f t="shared" si="189"/>
        <v>0</v>
      </c>
      <c r="EB53" s="96">
        <f t="shared" si="174"/>
        <v>0</v>
      </c>
      <c r="EC53" s="96">
        <f t="shared" si="175"/>
        <v>0</v>
      </c>
      <c r="ED53" s="96">
        <f t="shared" si="176"/>
        <v>0</v>
      </c>
      <c r="EE53" s="96">
        <f t="shared" si="177"/>
        <v>0</v>
      </c>
      <c r="EF53" s="96">
        <f t="shared" si="178"/>
        <v>0</v>
      </c>
      <c r="EG53" s="96">
        <f t="shared" si="179"/>
        <v>0</v>
      </c>
      <c r="EH53" s="96">
        <f t="shared" si="180"/>
        <v>0</v>
      </c>
      <c r="EI53" s="96">
        <f t="shared" si="181"/>
        <v>0</v>
      </c>
      <c r="EJ53" s="96">
        <f t="shared" si="182"/>
        <v>0</v>
      </c>
      <c r="EK53" s="96">
        <f t="shared" si="183"/>
        <v>0</v>
      </c>
      <c r="EL53" s="96">
        <f t="shared" si="184"/>
        <v>0</v>
      </c>
      <c r="EM53" s="96">
        <f t="shared" si="185"/>
        <v>0</v>
      </c>
      <c r="EN53" s="96">
        <f t="shared" si="186"/>
        <v>0</v>
      </c>
    </row>
    <row r="54" spans="1:144" s="180" customFormat="1" x14ac:dyDescent="0.25">
      <c r="A54" s="641" t="s">
        <v>14</v>
      </c>
      <c r="B54" s="729" t="s">
        <v>115</v>
      </c>
      <c r="C54" s="139">
        <f t="shared" ref="C54:L54" si="209">C38+C50</f>
        <v>392970000</v>
      </c>
      <c r="D54" s="139">
        <f t="shared" si="209"/>
        <v>417573778</v>
      </c>
      <c r="E54" s="139">
        <f>E38+E50</f>
        <v>449069000</v>
      </c>
      <c r="F54" s="139">
        <f>F38+F50</f>
        <v>451701105</v>
      </c>
      <c r="G54" s="139">
        <f t="shared" si="209"/>
        <v>0</v>
      </c>
      <c r="H54" s="139">
        <f t="shared" ref="H54" si="210">H38+H50</f>
        <v>0</v>
      </c>
      <c r="I54" s="139">
        <f t="shared" si="209"/>
        <v>0</v>
      </c>
      <c r="J54" s="139">
        <f t="shared" si="209"/>
        <v>0</v>
      </c>
      <c r="K54" s="139"/>
      <c r="L54" s="139">
        <f t="shared" si="209"/>
        <v>0</v>
      </c>
      <c r="M54" s="139">
        <f t="shared" si="124"/>
        <v>392970000</v>
      </c>
      <c r="N54" s="139">
        <f t="shared" si="195"/>
        <v>417573778</v>
      </c>
      <c r="O54" s="139">
        <f t="shared" si="196"/>
        <v>842039000</v>
      </c>
      <c r="P54" s="139">
        <f t="shared" si="127"/>
        <v>451701105</v>
      </c>
      <c r="Q54" s="641" t="s">
        <v>14</v>
      </c>
      <c r="R54" s="729" t="s">
        <v>115</v>
      </c>
      <c r="S54" s="139">
        <f>S38+S50</f>
        <v>65037000</v>
      </c>
      <c r="T54" s="139">
        <f>T38+T50</f>
        <v>67172869</v>
      </c>
      <c r="U54" s="139">
        <f>U38+U50</f>
        <v>52132000</v>
      </c>
      <c r="V54" s="139">
        <f t="shared" ref="V54:AB54" si="211">V38+V50</f>
        <v>57457876</v>
      </c>
      <c r="W54" s="139">
        <f t="shared" si="211"/>
        <v>0</v>
      </c>
      <c r="X54" s="139">
        <f t="shared" ref="X54:Y54" si="212">X38+X50</f>
        <v>0</v>
      </c>
      <c r="Y54" s="139">
        <f t="shared" si="212"/>
        <v>0</v>
      </c>
      <c r="Z54" s="139">
        <f t="shared" si="211"/>
        <v>0</v>
      </c>
      <c r="AA54" s="139">
        <f t="shared" si="211"/>
        <v>0</v>
      </c>
      <c r="AB54" s="139">
        <f t="shared" si="211"/>
        <v>0</v>
      </c>
      <c r="AC54" s="139">
        <f t="shared" si="130"/>
        <v>65037000</v>
      </c>
      <c r="AD54" s="139">
        <f t="shared" si="131"/>
        <v>67172869</v>
      </c>
      <c r="AE54" s="139">
        <f t="shared" si="132"/>
        <v>52132000</v>
      </c>
      <c r="AF54" s="139">
        <f t="shared" si="187"/>
        <v>57457876</v>
      </c>
      <c r="AG54" s="641" t="s">
        <v>14</v>
      </c>
      <c r="AH54" s="602" t="s">
        <v>115</v>
      </c>
      <c r="AI54" s="139">
        <f t="shared" ref="AI54:AR54" si="213">AI38+AI50</f>
        <v>108511000</v>
      </c>
      <c r="AJ54" s="139">
        <f t="shared" ref="AJ54" si="214">AJ38+AJ50</f>
        <v>110142677</v>
      </c>
      <c r="AK54" s="139">
        <f>AK38+AK50</f>
        <v>121502000</v>
      </c>
      <c r="AL54" s="139">
        <f>AL38+AL50</f>
        <v>121842677</v>
      </c>
      <c r="AM54" s="139">
        <f t="shared" si="213"/>
        <v>0</v>
      </c>
      <c r="AN54" s="139">
        <f t="shared" ref="AN54:AO54" si="215">AN38+AN50</f>
        <v>0</v>
      </c>
      <c r="AO54" s="139">
        <f t="shared" si="215"/>
        <v>0</v>
      </c>
      <c r="AP54" s="139">
        <f t="shared" si="213"/>
        <v>0</v>
      </c>
      <c r="AQ54" s="139">
        <f t="shared" si="213"/>
        <v>0</v>
      </c>
      <c r="AR54" s="139">
        <f t="shared" si="213"/>
        <v>0</v>
      </c>
      <c r="AS54" s="139">
        <f t="shared" si="136"/>
        <v>108511000</v>
      </c>
      <c r="AT54" s="139">
        <f t="shared" si="137"/>
        <v>110142677</v>
      </c>
      <c r="AU54" s="139">
        <f t="shared" si="138"/>
        <v>121502000</v>
      </c>
      <c r="AV54" s="139">
        <f t="shared" si="188"/>
        <v>121842677</v>
      </c>
      <c r="AW54" s="641" t="s">
        <v>14</v>
      </c>
      <c r="AX54" s="602" t="s">
        <v>115</v>
      </c>
      <c r="AY54" s="139">
        <f t="shared" ref="AY54:BH54" si="216">AY38+AY50</f>
        <v>256747000</v>
      </c>
      <c r="AZ54" s="139">
        <f t="shared" si="216"/>
        <v>260245561</v>
      </c>
      <c r="BA54" s="139">
        <f t="shared" ref="BA54:BB54" si="217">BA38+BA50</f>
        <v>251225000</v>
      </c>
      <c r="BB54" s="139">
        <f t="shared" si="217"/>
        <v>260245561</v>
      </c>
      <c r="BC54" s="139">
        <f t="shared" si="216"/>
        <v>0</v>
      </c>
      <c r="BD54" s="139">
        <f t="shared" ref="BD54:BE54" si="218">BD38+BD50</f>
        <v>0</v>
      </c>
      <c r="BE54" s="139">
        <f t="shared" si="218"/>
        <v>0</v>
      </c>
      <c r="BF54" s="139">
        <f t="shared" si="216"/>
        <v>0</v>
      </c>
      <c r="BG54" s="139">
        <f t="shared" si="216"/>
        <v>0</v>
      </c>
      <c r="BH54" s="139">
        <f t="shared" si="216"/>
        <v>0</v>
      </c>
      <c r="BI54" s="139">
        <f t="shared" si="142"/>
        <v>256747000</v>
      </c>
      <c r="BJ54" s="139">
        <f t="shared" si="143"/>
        <v>260245561</v>
      </c>
      <c r="BK54" s="139">
        <f t="shared" si="144"/>
        <v>251225000</v>
      </c>
      <c r="BL54" s="139">
        <f t="shared" si="145"/>
        <v>260245561</v>
      </c>
      <c r="BM54" s="641" t="s">
        <v>14</v>
      </c>
      <c r="BN54" s="602" t="s">
        <v>115</v>
      </c>
      <c r="BO54" s="139">
        <f t="shared" ref="BO54:BX54" si="219">BO38+BO50</f>
        <v>180033000</v>
      </c>
      <c r="BP54" s="139">
        <f t="shared" ref="BP54" si="220">BP38+BP50</f>
        <v>182095637</v>
      </c>
      <c r="BQ54" s="139">
        <f t="shared" si="219"/>
        <v>162587000</v>
      </c>
      <c r="BR54" s="139">
        <f t="shared" si="219"/>
        <v>181957057</v>
      </c>
      <c r="BS54" s="139">
        <f t="shared" si="219"/>
        <v>0</v>
      </c>
      <c r="BT54" s="139">
        <f t="shared" ref="BT54:BU54" si="221">BT38+BT50</f>
        <v>0</v>
      </c>
      <c r="BU54" s="139">
        <f t="shared" si="221"/>
        <v>0</v>
      </c>
      <c r="BV54" s="139">
        <f t="shared" si="219"/>
        <v>0</v>
      </c>
      <c r="BW54" s="139">
        <f t="shared" si="219"/>
        <v>0</v>
      </c>
      <c r="BX54" s="139">
        <f t="shared" si="219"/>
        <v>0</v>
      </c>
      <c r="BY54" s="139">
        <f t="shared" si="149"/>
        <v>180033000</v>
      </c>
      <c r="BZ54" s="139">
        <f t="shared" si="150"/>
        <v>182095637</v>
      </c>
      <c r="CA54" s="139">
        <f t="shared" si="151"/>
        <v>162587000</v>
      </c>
      <c r="CB54" s="139">
        <f t="shared" si="152"/>
        <v>181957057</v>
      </c>
      <c r="CC54" s="641" t="s">
        <v>14</v>
      </c>
      <c r="CD54" s="602" t="s">
        <v>115</v>
      </c>
      <c r="CE54" s="139">
        <f t="shared" ref="CE54:CN54" si="222">CE38+CE50</f>
        <v>49129000</v>
      </c>
      <c r="CF54" s="139">
        <f t="shared" ref="CF54:CH54" si="223">CF38+CF50</f>
        <v>50296236</v>
      </c>
      <c r="CG54" s="139">
        <f t="shared" si="223"/>
        <v>48795000</v>
      </c>
      <c r="CH54" s="139">
        <f t="shared" si="223"/>
        <v>50293943</v>
      </c>
      <c r="CI54" s="139">
        <f t="shared" si="222"/>
        <v>0</v>
      </c>
      <c r="CJ54" s="139">
        <f t="shared" ref="CJ54:CK54" si="224">CJ38+CJ50</f>
        <v>0</v>
      </c>
      <c r="CK54" s="139">
        <f t="shared" si="224"/>
        <v>0</v>
      </c>
      <c r="CL54" s="139">
        <f t="shared" si="222"/>
        <v>0</v>
      </c>
      <c r="CM54" s="139">
        <f t="shared" si="222"/>
        <v>0</v>
      </c>
      <c r="CN54" s="139">
        <f t="shared" si="222"/>
        <v>0</v>
      </c>
      <c r="CO54" s="139">
        <f t="shared" si="156"/>
        <v>49129000</v>
      </c>
      <c r="CP54" s="139">
        <f t="shared" si="157"/>
        <v>50296236</v>
      </c>
      <c r="CQ54" s="139">
        <f t="shared" si="158"/>
        <v>48795000</v>
      </c>
      <c r="CR54" s="139">
        <f t="shared" si="159"/>
        <v>50293943</v>
      </c>
      <c r="CS54" s="641" t="s">
        <v>14</v>
      </c>
      <c r="CT54" s="602" t="s">
        <v>115</v>
      </c>
      <c r="CU54" s="139">
        <f t="shared" ref="CU54:DD54" si="225">CU38+CU50</f>
        <v>24753000</v>
      </c>
      <c r="CV54" s="139">
        <f t="shared" ref="CV54:CX54" si="226">CV38+CV50</f>
        <v>25644378</v>
      </c>
      <c r="CW54" s="139">
        <f t="shared" si="226"/>
        <v>24909000</v>
      </c>
      <c r="CX54" s="139">
        <f t="shared" si="226"/>
        <v>25198689</v>
      </c>
      <c r="CY54" s="139">
        <f t="shared" si="225"/>
        <v>0</v>
      </c>
      <c r="CZ54" s="139">
        <f t="shared" ref="CZ54:DA54" si="227">CZ38+CZ50</f>
        <v>0</v>
      </c>
      <c r="DA54" s="139">
        <f t="shared" si="227"/>
        <v>0</v>
      </c>
      <c r="DB54" s="139">
        <f t="shared" si="225"/>
        <v>0</v>
      </c>
      <c r="DC54" s="139">
        <f t="shared" si="225"/>
        <v>0</v>
      </c>
      <c r="DD54" s="139">
        <f t="shared" si="225"/>
        <v>0</v>
      </c>
      <c r="DE54" s="134">
        <f t="shared" si="163"/>
        <v>24753000</v>
      </c>
      <c r="DF54" s="134">
        <f t="shared" si="164"/>
        <v>25644378</v>
      </c>
      <c r="DG54" s="134">
        <f t="shared" si="165"/>
        <v>24909000</v>
      </c>
      <c r="DH54" s="134">
        <f t="shared" si="166"/>
        <v>25198689</v>
      </c>
      <c r="DI54" s="641" t="s">
        <v>14</v>
      </c>
      <c r="DJ54" s="602" t="s">
        <v>115</v>
      </c>
      <c r="DK54" s="139">
        <f t="shared" ref="DK54:DT54" si="228">DK38+DK50</f>
        <v>62270000</v>
      </c>
      <c r="DL54" s="139">
        <f t="shared" si="228"/>
        <v>42986919</v>
      </c>
      <c r="DM54" s="139">
        <f t="shared" ref="DM54:DN54" si="229">DM38+DM50</f>
        <v>64937000</v>
      </c>
      <c r="DN54" s="139">
        <f t="shared" si="229"/>
        <v>75212692</v>
      </c>
      <c r="DO54" s="139">
        <f t="shared" si="228"/>
        <v>0</v>
      </c>
      <c r="DP54" s="139">
        <f t="shared" ref="DP54:DQ54" si="230">DP38+DP50</f>
        <v>0</v>
      </c>
      <c r="DQ54" s="139">
        <f t="shared" si="230"/>
        <v>0</v>
      </c>
      <c r="DR54" s="139">
        <f t="shared" si="228"/>
        <v>0</v>
      </c>
      <c r="DS54" s="139">
        <f t="shared" si="228"/>
        <v>0</v>
      </c>
      <c r="DT54" s="139">
        <f t="shared" si="228"/>
        <v>0</v>
      </c>
      <c r="DU54" s="134">
        <f t="shared" si="170"/>
        <v>62270000</v>
      </c>
      <c r="DV54" s="134">
        <f t="shared" si="171"/>
        <v>42986919</v>
      </c>
      <c r="DW54" s="134">
        <f t="shared" si="172"/>
        <v>64937000</v>
      </c>
      <c r="DX54" s="134">
        <f t="shared" si="173"/>
        <v>75212692</v>
      </c>
      <c r="DY54" s="641" t="s">
        <v>14</v>
      </c>
      <c r="DZ54" s="602" t="s">
        <v>115</v>
      </c>
      <c r="EA54" s="320">
        <f t="shared" si="189"/>
        <v>1139450000</v>
      </c>
      <c r="EB54" s="320">
        <f t="shared" si="174"/>
        <v>1156158055</v>
      </c>
      <c r="EC54" s="320">
        <f t="shared" si="175"/>
        <v>1175156000</v>
      </c>
      <c r="ED54" s="320">
        <f t="shared" si="176"/>
        <v>1223909600</v>
      </c>
      <c r="EE54" s="320">
        <f t="shared" si="177"/>
        <v>0</v>
      </c>
      <c r="EF54" s="320">
        <f t="shared" si="178"/>
        <v>0</v>
      </c>
      <c r="EG54" s="320">
        <f t="shared" si="179"/>
        <v>0</v>
      </c>
      <c r="EH54" s="320">
        <f t="shared" si="180"/>
        <v>0</v>
      </c>
      <c r="EI54" s="320">
        <f t="shared" si="181"/>
        <v>0</v>
      </c>
      <c r="EJ54" s="320">
        <f t="shared" si="182"/>
        <v>0</v>
      </c>
      <c r="EK54" s="320">
        <f t="shared" si="183"/>
        <v>1139450000</v>
      </c>
      <c r="EL54" s="320">
        <f t="shared" si="184"/>
        <v>1156158055</v>
      </c>
      <c r="EM54" s="320">
        <f t="shared" si="185"/>
        <v>1568126000</v>
      </c>
      <c r="EN54" s="320">
        <f t="shared" si="186"/>
        <v>1223909600</v>
      </c>
    </row>
    <row r="55" spans="1:144" ht="22.5" x14ac:dyDescent="0.25">
      <c r="A55" s="636" t="s">
        <v>15</v>
      </c>
      <c r="B55" s="727" t="s">
        <v>428</v>
      </c>
      <c r="C55" s="29">
        <v>0</v>
      </c>
      <c r="D55" s="144">
        <v>0</v>
      </c>
      <c r="E55" s="29">
        <v>0</v>
      </c>
      <c r="F55" s="144">
        <v>0</v>
      </c>
      <c r="G55" s="29">
        <v>0</v>
      </c>
      <c r="H55" s="29">
        <v>0</v>
      </c>
      <c r="I55" s="29">
        <v>0</v>
      </c>
      <c r="J55" s="29">
        <v>0</v>
      </c>
      <c r="K55" s="29"/>
      <c r="L55" s="29">
        <v>0</v>
      </c>
      <c r="M55" s="17">
        <f t="shared" si="124"/>
        <v>0</v>
      </c>
      <c r="N55" s="139">
        <f t="shared" si="195"/>
        <v>0</v>
      </c>
      <c r="O55" s="139">
        <f t="shared" si="196"/>
        <v>0</v>
      </c>
      <c r="P55" s="139">
        <f t="shared" si="127"/>
        <v>0</v>
      </c>
      <c r="Q55" s="636" t="s">
        <v>15</v>
      </c>
      <c r="R55" s="727" t="s">
        <v>428</v>
      </c>
      <c r="S55" s="29">
        <v>0</v>
      </c>
      <c r="T55" s="144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0</v>
      </c>
      <c r="AC55" s="139">
        <f t="shared" si="130"/>
        <v>0</v>
      </c>
      <c r="AD55" s="139">
        <f t="shared" si="131"/>
        <v>0</v>
      </c>
      <c r="AE55" s="139">
        <f t="shared" si="132"/>
        <v>0</v>
      </c>
      <c r="AF55" s="139">
        <f t="shared" si="187"/>
        <v>0</v>
      </c>
      <c r="AG55" s="636" t="s">
        <v>15</v>
      </c>
      <c r="AH55" s="598" t="s">
        <v>428</v>
      </c>
      <c r="AI55" s="29">
        <v>0</v>
      </c>
      <c r="AJ55" s="29">
        <v>0</v>
      </c>
      <c r="AK55" s="29">
        <v>0</v>
      </c>
      <c r="AL55" s="29"/>
      <c r="AM55" s="29">
        <v>0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17">
        <f t="shared" si="136"/>
        <v>0</v>
      </c>
      <c r="AT55" s="139">
        <f t="shared" si="137"/>
        <v>0</v>
      </c>
      <c r="AU55" s="139">
        <f t="shared" si="138"/>
        <v>0</v>
      </c>
      <c r="AV55" s="139">
        <f t="shared" si="188"/>
        <v>0</v>
      </c>
      <c r="AW55" s="636" t="s">
        <v>15</v>
      </c>
      <c r="AX55" s="598" t="s">
        <v>428</v>
      </c>
      <c r="AY55" s="29">
        <v>0</v>
      </c>
      <c r="AZ55" s="29">
        <v>0</v>
      </c>
      <c r="BA55" s="29">
        <v>0</v>
      </c>
      <c r="BB55" s="29"/>
      <c r="BC55" s="29">
        <v>0</v>
      </c>
      <c r="BD55" s="29">
        <v>0</v>
      </c>
      <c r="BE55" s="29">
        <v>0</v>
      </c>
      <c r="BF55" s="29">
        <v>0</v>
      </c>
      <c r="BG55" s="29">
        <v>0</v>
      </c>
      <c r="BH55" s="29">
        <v>0</v>
      </c>
      <c r="BI55" s="17">
        <f t="shared" si="142"/>
        <v>0</v>
      </c>
      <c r="BJ55" s="139">
        <f t="shared" si="143"/>
        <v>0</v>
      </c>
      <c r="BK55" s="139">
        <f t="shared" si="144"/>
        <v>0</v>
      </c>
      <c r="BL55" s="139">
        <f t="shared" si="145"/>
        <v>0</v>
      </c>
      <c r="BM55" s="636" t="s">
        <v>15</v>
      </c>
      <c r="BN55" s="598" t="s">
        <v>428</v>
      </c>
      <c r="BO55" s="29">
        <v>0</v>
      </c>
      <c r="BP55" s="29">
        <v>0</v>
      </c>
      <c r="BQ55" s="29">
        <v>0</v>
      </c>
      <c r="BR55" s="29"/>
      <c r="BS55" s="29">
        <v>0</v>
      </c>
      <c r="BT55" s="29">
        <v>0</v>
      </c>
      <c r="BU55" s="29">
        <v>0</v>
      </c>
      <c r="BV55" s="29">
        <v>0</v>
      </c>
      <c r="BW55" s="29">
        <v>0</v>
      </c>
      <c r="BX55" s="29">
        <v>0</v>
      </c>
      <c r="BY55" s="17">
        <f t="shared" si="149"/>
        <v>0</v>
      </c>
      <c r="BZ55" s="139">
        <f t="shared" si="150"/>
        <v>0</v>
      </c>
      <c r="CA55" s="139">
        <f t="shared" si="151"/>
        <v>0</v>
      </c>
      <c r="CB55" s="139">
        <f t="shared" si="152"/>
        <v>0</v>
      </c>
      <c r="CC55" s="636" t="s">
        <v>15</v>
      </c>
      <c r="CD55" s="598" t="s">
        <v>428</v>
      </c>
      <c r="CE55" s="29">
        <v>0</v>
      </c>
      <c r="CF55" s="29">
        <v>0</v>
      </c>
      <c r="CG55" s="29">
        <v>0</v>
      </c>
      <c r="CH55" s="29"/>
      <c r="CI55" s="29">
        <v>0</v>
      </c>
      <c r="CJ55" s="29">
        <v>0</v>
      </c>
      <c r="CK55" s="29">
        <v>0</v>
      </c>
      <c r="CL55" s="29">
        <v>0</v>
      </c>
      <c r="CM55" s="29">
        <v>0</v>
      </c>
      <c r="CN55" s="29">
        <v>0</v>
      </c>
      <c r="CO55" s="17">
        <f t="shared" si="156"/>
        <v>0</v>
      </c>
      <c r="CP55" s="139">
        <f t="shared" si="157"/>
        <v>0</v>
      </c>
      <c r="CQ55" s="139">
        <f t="shared" si="158"/>
        <v>0</v>
      </c>
      <c r="CR55" s="139">
        <f t="shared" si="159"/>
        <v>0</v>
      </c>
      <c r="CS55" s="636" t="s">
        <v>15</v>
      </c>
      <c r="CT55" s="598" t="s">
        <v>428</v>
      </c>
      <c r="CU55" s="29">
        <v>0</v>
      </c>
      <c r="CV55" s="29">
        <v>0</v>
      </c>
      <c r="CW55" s="29">
        <v>0</v>
      </c>
      <c r="CX55" s="29"/>
      <c r="CY55" s="29">
        <v>0</v>
      </c>
      <c r="CZ55" s="29">
        <v>0</v>
      </c>
      <c r="DA55" s="29">
        <v>0</v>
      </c>
      <c r="DB55" s="29">
        <v>0</v>
      </c>
      <c r="DC55" s="29">
        <v>0</v>
      </c>
      <c r="DD55" s="29">
        <v>0</v>
      </c>
      <c r="DE55" s="134">
        <f t="shared" si="163"/>
        <v>0</v>
      </c>
      <c r="DF55" s="134">
        <f t="shared" si="164"/>
        <v>0</v>
      </c>
      <c r="DG55" s="134">
        <f t="shared" si="165"/>
        <v>0</v>
      </c>
      <c r="DH55" s="134">
        <f t="shared" si="166"/>
        <v>0</v>
      </c>
      <c r="DI55" s="636" t="s">
        <v>15</v>
      </c>
      <c r="DJ55" s="598" t="s">
        <v>428</v>
      </c>
      <c r="DK55" s="29">
        <v>0</v>
      </c>
      <c r="DL55" s="144">
        <v>0</v>
      </c>
      <c r="DM55" s="29">
        <v>0</v>
      </c>
      <c r="DN55" s="29"/>
      <c r="DO55" s="29">
        <v>0</v>
      </c>
      <c r="DP55" s="29">
        <v>0</v>
      </c>
      <c r="DQ55" s="29">
        <v>0</v>
      </c>
      <c r="DR55" s="29">
        <v>0</v>
      </c>
      <c r="DS55" s="29">
        <v>0</v>
      </c>
      <c r="DT55" s="29">
        <v>0</v>
      </c>
      <c r="DU55" s="134">
        <f t="shared" si="170"/>
        <v>0</v>
      </c>
      <c r="DV55" s="134">
        <f t="shared" si="171"/>
        <v>0</v>
      </c>
      <c r="DW55" s="134">
        <f t="shared" si="172"/>
        <v>0</v>
      </c>
      <c r="DX55" s="134">
        <f t="shared" si="173"/>
        <v>0</v>
      </c>
      <c r="DY55" s="636" t="s">
        <v>15</v>
      </c>
      <c r="DZ55" s="598" t="s">
        <v>428</v>
      </c>
      <c r="EA55" s="96">
        <f t="shared" si="189"/>
        <v>0</v>
      </c>
      <c r="EB55" s="96">
        <f t="shared" si="174"/>
        <v>0</v>
      </c>
      <c r="EC55" s="96">
        <f t="shared" si="175"/>
        <v>0</v>
      </c>
      <c r="ED55" s="96">
        <f t="shared" si="176"/>
        <v>0</v>
      </c>
      <c r="EE55" s="96">
        <f t="shared" si="177"/>
        <v>0</v>
      </c>
      <c r="EF55" s="96">
        <f t="shared" si="178"/>
        <v>0</v>
      </c>
      <c r="EG55" s="96">
        <f t="shared" si="179"/>
        <v>0</v>
      </c>
      <c r="EH55" s="96">
        <f t="shared" si="180"/>
        <v>0</v>
      </c>
      <c r="EI55" s="96">
        <f t="shared" si="181"/>
        <v>0</v>
      </c>
      <c r="EJ55" s="96">
        <f t="shared" si="182"/>
        <v>0</v>
      </c>
      <c r="EK55" s="96">
        <f t="shared" si="183"/>
        <v>0</v>
      </c>
      <c r="EL55" s="96">
        <f t="shared" si="184"/>
        <v>0</v>
      </c>
      <c r="EM55" s="96">
        <f t="shared" si="185"/>
        <v>0</v>
      </c>
      <c r="EN55" s="96">
        <f t="shared" si="186"/>
        <v>0</v>
      </c>
    </row>
    <row r="56" spans="1:144" s="181" customFormat="1" ht="22.5" x14ac:dyDescent="0.25">
      <c r="A56" s="636" t="s">
        <v>16</v>
      </c>
      <c r="B56" s="727" t="s">
        <v>429</v>
      </c>
      <c r="C56" s="29"/>
      <c r="D56" s="144"/>
      <c r="E56" s="29"/>
      <c r="F56" s="29"/>
      <c r="G56" s="29"/>
      <c r="H56" s="29"/>
      <c r="I56" s="29"/>
      <c r="J56" s="29"/>
      <c r="K56" s="29"/>
      <c r="L56" s="29"/>
      <c r="M56" s="139"/>
      <c r="N56" s="139"/>
      <c r="O56" s="139"/>
      <c r="P56" s="139">
        <f t="shared" si="127"/>
        <v>0</v>
      </c>
      <c r="Q56" s="636" t="s">
        <v>16</v>
      </c>
      <c r="R56" s="727" t="s">
        <v>429</v>
      </c>
      <c r="S56" s="29"/>
      <c r="T56" s="144"/>
      <c r="U56" s="29"/>
      <c r="V56" s="29"/>
      <c r="W56" s="29"/>
      <c r="X56" s="29"/>
      <c r="Y56" s="29"/>
      <c r="Z56" s="29"/>
      <c r="AA56" s="29"/>
      <c r="AB56" s="29"/>
      <c r="AC56" s="139"/>
      <c r="AD56" s="139"/>
      <c r="AE56" s="139"/>
      <c r="AF56" s="139">
        <f t="shared" si="187"/>
        <v>0</v>
      </c>
      <c r="AG56" s="636" t="s">
        <v>16</v>
      </c>
      <c r="AH56" s="598" t="s">
        <v>429</v>
      </c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139"/>
      <c r="AT56" s="139"/>
      <c r="AU56" s="139"/>
      <c r="AV56" s="139">
        <f t="shared" si="188"/>
        <v>0</v>
      </c>
      <c r="AW56" s="636" t="s">
        <v>16</v>
      </c>
      <c r="AX56" s="598" t="s">
        <v>429</v>
      </c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139"/>
      <c r="BJ56" s="139"/>
      <c r="BK56" s="139"/>
      <c r="BL56" s="139">
        <f t="shared" si="145"/>
        <v>0</v>
      </c>
      <c r="BM56" s="636" t="s">
        <v>16</v>
      </c>
      <c r="BN56" s="598" t="s">
        <v>429</v>
      </c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139"/>
      <c r="BZ56" s="139"/>
      <c r="CA56" s="139"/>
      <c r="CB56" s="139">
        <f t="shared" si="152"/>
        <v>0</v>
      </c>
      <c r="CC56" s="636" t="s">
        <v>16</v>
      </c>
      <c r="CD56" s="598" t="s">
        <v>429</v>
      </c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139"/>
      <c r="CP56" s="139"/>
      <c r="CQ56" s="139"/>
      <c r="CR56" s="139">
        <f t="shared" si="159"/>
        <v>0</v>
      </c>
      <c r="CS56" s="636" t="s">
        <v>16</v>
      </c>
      <c r="CT56" s="598" t="s">
        <v>429</v>
      </c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134"/>
      <c r="DF56" s="134"/>
      <c r="DG56" s="134"/>
      <c r="DH56" s="134">
        <f t="shared" si="166"/>
        <v>0</v>
      </c>
      <c r="DI56" s="636" t="s">
        <v>16</v>
      </c>
      <c r="DJ56" s="598" t="s">
        <v>429</v>
      </c>
      <c r="DK56" s="29"/>
      <c r="DL56" s="144"/>
      <c r="DM56" s="29"/>
      <c r="DN56" s="29"/>
      <c r="DO56" s="29"/>
      <c r="DP56" s="29"/>
      <c r="DQ56" s="29"/>
      <c r="DR56" s="29"/>
      <c r="DS56" s="29"/>
      <c r="DT56" s="29"/>
      <c r="DU56" s="134"/>
      <c r="DV56" s="134"/>
      <c r="DW56" s="134"/>
      <c r="DX56" s="134">
        <f t="shared" si="173"/>
        <v>0</v>
      </c>
      <c r="DY56" s="636" t="s">
        <v>16</v>
      </c>
      <c r="DZ56" s="598" t="s">
        <v>429</v>
      </c>
      <c r="EA56" s="96">
        <f t="shared" si="189"/>
        <v>0</v>
      </c>
      <c r="EB56" s="96">
        <f t="shared" si="174"/>
        <v>0</v>
      </c>
      <c r="EC56" s="96">
        <f t="shared" si="175"/>
        <v>0</v>
      </c>
      <c r="ED56" s="96">
        <f t="shared" si="176"/>
        <v>0</v>
      </c>
      <c r="EE56" s="96">
        <f t="shared" si="177"/>
        <v>0</v>
      </c>
      <c r="EF56" s="96">
        <f t="shared" si="178"/>
        <v>0</v>
      </c>
      <c r="EG56" s="96">
        <f t="shared" si="179"/>
        <v>0</v>
      </c>
      <c r="EH56" s="96">
        <f t="shared" si="180"/>
        <v>0</v>
      </c>
      <c r="EI56" s="96">
        <f t="shared" si="181"/>
        <v>0</v>
      </c>
      <c r="EJ56" s="96">
        <f t="shared" si="182"/>
        <v>0</v>
      </c>
      <c r="EK56" s="96">
        <f t="shared" si="183"/>
        <v>0</v>
      </c>
      <c r="EL56" s="96">
        <f t="shared" si="184"/>
        <v>0</v>
      </c>
      <c r="EM56" s="96">
        <f t="shared" si="185"/>
        <v>0</v>
      </c>
      <c r="EN56" s="96">
        <f t="shared" si="186"/>
        <v>0</v>
      </c>
    </row>
    <row r="57" spans="1:144" x14ac:dyDescent="0.25">
      <c r="A57" s="636" t="s">
        <v>17</v>
      </c>
      <c r="B57" s="727" t="s">
        <v>350</v>
      </c>
      <c r="C57" s="29">
        <v>0</v>
      </c>
      <c r="D57" s="144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/>
      <c r="L57" s="29">
        <v>0</v>
      </c>
      <c r="M57" s="17">
        <f t="shared" si="124"/>
        <v>0</v>
      </c>
      <c r="N57" s="139">
        <f t="shared" ref="N57:N59" si="231">D57+H57+L57</f>
        <v>0</v>
      </c>
      <c r="O57" s="139">
        <f t="shared" ref="O57:O59" si="232">E57+I57+M57</f>
        <v>0</v>
      </c>
      <c r="P57" s="139">
        <f t="shared" si="127"/>
        <v>0</v>
      </c>
      <c r="Q57" s="636" t="s">
        <v>17</v>
      </c>
      <c r="R57" s="727" t="s">
        <v>350</v>
      </c>
      <c r="S57" s="29">
        <v>0</v>
      </c>
      <c r="T57" s="144">
        <v>0</v>
      </c>
      <c r="U57" s="29">
        <v>0</v>
      </c>
      <c r="V57" s="29">
        <v>0</v>
      </c>
      <c r="W57" s="29">
        <v>0</v>
      </c>
      <c r="X57" s="29">
        <v>0</v>
      </c>
      <c r="Y57" s="29">
        <v>0</v>
      </c>
      <c r="Z57" s="29">
        <v>0</v>
      </c>
      <c r="AA57" s="29">
        <v>0</v>
      </c>
      <c r="AB57" s="29">
        <v>0</v>
      </c>
      <c r="AC57" s="139">
        <f t="shared" si="130"/>
        <v>0</v>
      </c>
      <c r="AD57" s="139">
        <f t="shared" si="131"/>
        <v>0</v>
      </c>
      <c r="AE57" s="139">
        <f t="shared" si="132"/>
        <v>0</v>
      </c>
      <c r="AF57" s="139">
        <f t="shared" si="187"/>
        <v>0</v>
      </c>
      <c r="AG57" s="636" t="s">
        <v>17</v>
      </c>
      <c r="AH57" s="598" t="s">
        <v>350</v>
      </c>
      <c r="AI57" s="29">
        <v>0</v>
      </c>
      <c r="AJ57" s="29">
        <v>0</v>
      </c>
      <c r="AK57" s="29">
        <v>0</v>
      </c>
      <c r="AL57" s="29"/>
      <c r="AM57" s="29">
        <v>0</v>
      </c>
      <c r="AN57" s="29">
        <v>0</v>
      </c>
      <c r="AO57" s="29">
        <v>0</v>
      </c>
      <c r="AP57" s="29">
        <v>0</v>
      </c>
      <c r="AQ57" s="29">
        <v>0</v>
      </c>
      <c r="AR57" s="29">
        <v>0</v>
      </c>
      <c r="AS57" s="17">
        <f t="shared" si="136"/>
        <v>0</v>
      </c>
      <c r="AT57" s="139">
        <f t="shared" si="137"/>
        <v>0</v>
      </c>
      <c r="AU57" s="139">
        <f t="shared" si="138"/>
        <v>0</v>
      </c>
      <c r="AV57" s="139">
        <f t="shared" si="188"/>
        <v>0</v>
      </c>
      <c r="AW57" s="636" t="s">
        <v>17</v>
      </c>
      <c r="AX57" s="598" t="s">
        <v>350</v>
      </c>
      <c r="AY57" s="29">
        <v>0</v>
      </c>
      <c r="AZ57" s="29">
        <v>0</v>
      </c>
      <c r="BA57" s="29">
        <v>0</v>
      </c>
      <c r="BB57" s="29"/>
      <c r="BC57" s="29">
        <v>0</v>
      </c>
      <c r="BD57" s="29">
        <v>0</v>
      </c>
      <c r="BE57" s="29">
        <v>0</v>
      </c>
      <c r="BF57" s="29">
        <v>0</v>
      </c>
      <c r="BG57" s="29">
        <v>0</v>
      </c>
      <c r="BH57" s="29">
        <v>0</v>
      </c>
      <c r="BI57" s="17">
        <f t="shared" si="142"/>
        <v>0</v>
      </c>
      <c r="BJ57" s="139">
        <f t="shared" si="143"/>
        <v>0</v>
      </c>
      <c r="BK57" s="139">
        <f t="shared" si="144"/>
        <v>0</v>
      </c>
      <c r="BL57" s="139">
        <f t="shared" si="145"/>
        <v>0</v>
      </c>
      <c r="BM57" s="636" t="s">
        <v>17</v>
      </c>
      <c r="BN57" s="598" t="s">
        <v>350</v>
      </c>
      <c r="BO57" s="29">
        <v>0</v>
      </c>
      <c r="BP57" s="29">
        <v>0</v>
      </c>
      <c r="BQ57" s="29">
        <v>0</v>
      </c>
      <c r="BR57" s="29"/>
      <c r="BS57" s="29">
        <v>0</v>
      </c>
      <c r="BT57" s="29">
        <v>0</v>
      </c>
      <c r="BU57" s="29">
        <v>0</v>
      </c>
      <c r="BV57" s="29">
        <v>0</v>
      </c>
      <c r="BW57" s="29">
        <v>0</v>
      </c>
      <c r="BX57" s="29">
        <v>0</v>
      </c>
      <c r="BY57" s="17">
        <f t="shared" si="149"/>
        <v>0</v>
      </c>
      <c r="BZ57" s="139">
        <f t="shared" si="150"/>
        <v>0</v>
      </c>
      <c r="CA57" s="139">
        <f t="shared" si="151"/>
        <v>0</v>
      </c>
      <c r="CB57" s="139">
        <f t="shared" si="152"/>
        <v>0</v>
      </c>
      <c r="CC57" s="636" t="s">
        <v>17</v>
      </c>
      <c r="CD57" s="598" t="s">
        <v>350</v>
      </c>
      <c r="CE57" s="29">
        <v>0</v>
      </c>
      <c r="CF57" s="29">
        <v>0</v>
      </c>
      <c r="CG57" s="29">
        <v>0</v>
      </c>
      <c r="CH57" s="29"/>
      <c r="CI57" s="29">
        <v>0</v>
      </c>
      <c r="CJ57" s="29">
        <v>0</v>
      </c>
      <c r="CK57" s="29">
        <v>0</v>
      </c>
      <c r="CL57" s="29">
        <v>0</v>
      </c>
      <c r="CM57" s="29">
        <v>0</v>
      </c>
      <c r="CN57" s="29">
        <v>0</v>
      </c>
      <c r="CO57" s="17">
        <f t="shared" si="156"/>
        <v>0</v>
      </c>
      <c r="CP57" s="139">
        <f t="shared" si="157"/>
        <v>0</v>
      </c>
      <c r="CQ57" s="139">
        <f t="shared" si="158"/>
        <v>0</v>
      </c>
      <c r="CR57" s="139">
        <f t="shared" si="159"/>
        <v>0</v>
      </c>
      <c r="CS57" s="636" t="s">
        <v>17</v>
      </c>
      <c r="CT57" s="598" t="s">
        <v>350</v>
      </c>
      <c r="CU57" s="29">
        <v>0</v>
      </c>
      <c r="CV57" s="29">
        <v>0</v>
      </c>
      <c r="CW57" s="29">
        <v>0</v>
      </c>
      <c r="CX57" s="29"/>
      <c r="CY57" s="29">
        <v>0</v>
      </c>
      <c r="CZ57" s="29">
        <v>0</v>
      </c>
      <c r="DA57" s="29">
        <v>0</v>
      </c>
      <c r="DB57" s="29">
        <v>0</v>
      </c>
      <c r="DC57" s="29">
        <v>0</v>
      </c>
      <c r="DD57" s="29">
        <v>0</v>
      </c>
      <c r="DE57" s="134">
        <f t="shared" si="163"/>
        <v>0</v>
      </c>
      <c r="DF57" s="134">
        <f t="shared" si="164"/>
        <v>0</v>
      </c>
      <c r="DG57" s="134">
        <f t="shared" si="165"/>
        <v>0</v>
      </c>
      <c r="DH57" s="134">
        <f t="shared" si="166"/>
        <v>0</v>
      </c>
      <c r="DI57" s="636" t="s">
        <v>17</v>
      </c>
      <c r="DJ57" s="598" t="s">
        <v>350</v>
      </c>
      <c r="DK57" s="29">
        <v>0</v>
      </c>
      <c r="DL57" s="144">
        <v>0</v>
      </c>
      <c r="DM57" s="29">
        <v>0</v>
      </c>
      <c r="DN57" s="29"/>
      <c r="DO57" s="29">
        <v>0</v>
      </c>
      <c r="DP57" s="29">
        <v>0</v>
      </c>
      <c r="DQ57" s="29">
        <v>0</v>
      </c>
      <c r="DR57" s="29">
        <v>0</v>
      </c>
      <c r="DS57" s="29">
        <v>0</v>
      </c>
      <c r="DT57" s="29">
        <v>0</v>
      </c>
      <c r="DU57" s="134">
        <f t="shared" si="170"/>
        <v>0</v>
      </c>
      <c r="DV57" s="134">
        <f t="shared" si="171"/>
        <v>0</v>
      </c>
      <c r="DW57" s="134">
        <f t="shared" si="172"/>
        <v>0</v>
      </c>
      <c r="DX57" s="134">
        <f t="shared" si="173"/>
        <v>0</v>
      </c>
      <c r="DY57" s="636" t="s">
        <v>17</v>
      </c>
      <c r="DZ57" s="598" t="s">
        <v>350</v>
      </c>
      <c r="EA57" s="96">
        <f t="shared" si="189"/>
        <v>0</v>
      </c>
      <c r="EB57" s="96">
        <f t="shared" si="174"/>
        <v>0</v>
      </c>
      <c r="EC57" s="96">
        <f t="shared" si="175"/>
        <v>0</v>
      </c>
      <c r="ED57" s="96">
        <f t="shared" si="176"/>
        <v>0</v>
      </c>
      <c r="EE57" s="96">
        <f t="shared" si="177"/>
        <v>0</v>
      </c>
      <c r="EF57" s="96">
        <f t="shared" si="178"/>
        <v>0</v>
      </c>
      <c r="EG57" s="96">
        <f t="shared" si="179"/>
        <v>0</v>
      </c>
      <c r="EH57" s="96">
        <f t="shared" si="180"/>
        <v>0</v>
      </c>
      <c r="EI57" s="96">
        <f t="shared" si="181"/>
        <v>0</v>
      </c>
      <c r="EJ57" s="96">
        <f t="shared" si="182"/>
        <v>0</v>
      </c>
      <c r="EK57" s="96">
        <f t="shared" si="183"/>
        <v>0</v>
      </c>
      <c r="EL57" s="96">
        <f t="shared" si="184"/>
        <v>0</v>
      </c>
      <c r="EM57" s="96">
        <f t="shared" si="185"/>
        <v>0</v>
      </c>
      <c r="EN57" s="96">
        <f t="shared" si="186"/>
        <v>0</v>
      </c>
    </row>
    <row r="58" spans="1:144" x14ac:dyDescent="0.25">
      <c r="A58" s="636" t="s">
        <v>18</v>
      </c>
      <c r="B58" s="727" t="s">
        <v>117</v>
      </c>
      <c r="C58" s="29">
        <v>0</v>
      </c>
      <c r="D58" s="144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/>
      <c r="L58" s="29">
        <v>0</v>
      </c>
      <c r="M58" s="17">
        <f t="shared" si="124"/>
        <v>0</v>
      </c>
      <c r="N58" s="139">
        <f t="shared" si="231"/>
        <v>0</v>
      </c>
      <c r="O58" s="139">
        <f t="shared" si="232"/>
        <v>0</v>
      </c>
      <c r="P58" s="139">
        <f t="shared" si="127"/>
        <v>0</v>
      </c>
      <c r="Q58" s="636" t="s">
        <v>18</v>
      </c>
      <c r="R58" s="727" t="s">
        <v>117</v>
      </c>
      <c r="S58" s="29">
        <v>0</v>
      </c>
      <c r="T58" s="144">
        <v>0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29">
        <v>0</v>
      </c>
      <c r="AA58" s="29">
        <v>0</v>
      </c>
      <c r="AB58" s="29">
        <v>0</v>
      </c>
      <c r="AC58" s="139">
        <f t="shared" si="130"/>
        <v>0</v>
      </c>
      <c r="AD58" s="139">
        <f t="shared" si="131"/>
        <v>0</v>
      </c>
      <c r="AE58" s="139">
        <f t="shared" si="132"/>
        <v>0</v>
      </c>
      <c r="AF58" s="139">
        <f t="shared" si="187"/>
        <v>0</v>
      </c>
      <c r="AG58" s="636" t="s">
        <v>18</v>
      </c>
      <c r="AH58" s="598" t="s">
        <v>117</v>
      </c>
      <c r="AI58" s="29">
        <v>0</v>
      </c>
      <c r="AJ58" s="29">
        <v>0</v>
      </c>
      <c r="AK58" s="29">
        <v>0</v>
      </c>
      <c r="AL58" s="29"/>
      <c r="AM58" s="29">
        <v>0</v>
      </c>
      <c r="AN58" s="29">
        <v>0</v>
      </c>
      <c r="AO58" s="29">
        <v>0</v>
      </c>
      <c r="AP58" s="29">
        <v>0</v>
      </c>
      <c r="AQ58" s="29">
        <v>0</v>
      </c>
      <c r="AR58" s="29">
        <v>0</v>
      </c>
      <c r="AS58" s="17">
        <f t="shared" si="136"/>
        <v>0</v>
      </c>
      <c r="AT58" s="139">
        <f t="shared" si="137"/>
        <v>0</v>
      </c>
      <c r="AU58" s="139">
        <f t="shared" si="138"/>
        <v>0</v>
      </c>
      <c r="AV58" s="139">
        <f t="shared" si="188"/>
        <v>0</v>
      </c>
      <c r="AW58" s="636" t="s">
        <v>18</v>
      </c>
      <c r="AX58" s="598" t="s">
        <v>117</v>
      </c>
      <c r="AY58" s="29">
        <v>0</v>
      </c>
      <c r="AZ58" s="29">
        <v>0</v>
      </c>
      <c r="BA58" s="29">
        <v>0</v>
      </c>
      <c r="BB58" s="29"/>
      <c r="BC58" s="29">
        <v>0</v>
      </c>
      <c r="BD58" s="29">
        <v>0</v>
      </c>
      <c r="BE58" s="29">
        <v>0</v>
      </c>
      <c r="BF58" s="29">
        <v>0</v>
      </c>
      <c r="BG58" s="29">
        <v>0</v>
      </c>
      <c r="BH58" s="29">
        <v>0</v>
      </c>
      <c r="BI58" s="17">
        <f t="shared" si="142"/>
        <v>0</v>
      </c>
      <c r="BJ58" s="139">
        <f t="shared" si="143"/>
        <v>0</v>
      </c>
      <c r="BK58" s="139">
        <f t="shared" si="144"/>
        <v>0</v>
      </c>
      <c r="BL58" s="139">
        <f t="shared" si="145"/>
        <v>0</v>
      </c>
      <c r="BM58" s="636" t="s">
        <v>18</v>
      </c>
      <c r="BN58" s="598" t="s">
        <v>117</v>
      </c>
      <c r="BO58" s="29">
        <v>0</v>
      </c>
      <c r="BP58" s="29">
        <v>0</v>
      </c>
      <c r="BQ58" s="29">
        <v>0</v>
      </c>
      <c r="BR58" s="29"/>
      <c r="BS58" s="29">
        <v>0</v>
      </c>
      <c r="BT58" s="29">
        <v>0</v>
      </c>
      <c r="BU58" s="29">
        <v>0</v>
      </c>
      <c r="BV58" s="29">
        <v>0</v>
      </c>
      <c r="BW58" s="29">
        <v>0</v>
      </c>
      <c r="BX58" s="29">
        <v>0</v>
      </c>
      <c r="BY58" s="17">
        <f t="shared" si="149"/>
        <v>0</v>
      </c>
      <c r="BZ58" s="139">
        <f t="shared" si="150"/>
        <v>0</v>
      </c>
      <c r="CA58" s="139">
        <f t="shared" si="151"/>
        <v>0</v>
      </c>
      <c r="CB58" s="139">
        <f t="shared" si="152"/>
        <v>0</v>
      </c>
      <c r="CC58" s="636" t="s">
        <v>18</v>
      </c>
      <c r="CD58" s="598" t="s">
        <v>117</v>
      </c>
      <c r="CE58" s="29">
        <v>0</v>
      </c>
      <c r="CF58" s="29">
        <v>0</v>
      </c>
      <c r="CG58" s="29">
        <v>0</v>
      </c>
      <c r="CH58" s="29"/>
      <c r="CI58" s="29">
        <v>0</v>
      </c>
      <c r="CJ58" s="29">
        <v>0</v>
      </c>
      <c r="CK58" s="29">
        <v>0</v>
      </c>
      <c r="CL58" s="29">
        <v>0</v>
      </c>
      <c r="CM58" s="29">
        <v>0</v>
      </c>
      <c r="CN58" s="29">
        <v>0</v>
      </c>
      <c r="CO58" s="17">
        <f t="shared" si="156"/>
        <v>0</v>
      </c>
      <c r="CP58" s="139">
        <f t="shared" si="157"/>
        <v>0</v>
      </c>
      <c r="CQ58" s="139">
        <f t="shared" si="158"/>
        <v>0</v>
      </c>
      <c r="CR58" s="139">
        <f t="shared" si="159"/>
        <v>0</v>
      </c>
      <c r="CS58" s="636" t="s">
        <v>18</v>
      </c>
      <c r="CT58" s="598" t="s">
        <v>117</v>
      </c>
      <c r="CU58" s="29">
        <v>0</v>
      </c>
      <c r="CV58" s="29">
        <v>0</v>
      </c>
      <c r="CW58" s="29">
        <v>0</v>
      </c>
      <c r="CX58" s="29"/>
      <c r="CY58" s="29">
        <v>0</v>
      </c>
      <c r="CZ58" s="29">
        <v>0</v>
      </c>
      <c r="DA58" s="29">
        <v>0</v>
      </c>
      <c r="DB58" s="29">
        <v>0</v>
      </c>
      <c r="DC58" s="29">
        <v>0</v>
      </c>
      <c r="DD58" s="29">
        <v>0</v>
      </c>
      <c r="DE58" s="134">
        <f t="shared" si="163"/>
        <v>0</v>
      </c>
      <c r="DF58" s="134">
        <f t="shared" si="164"/>
        <v>0</v>
      </c>
      <c r="DG58" s="134">
        <f t="shared" si="165"/>
        <v>0</v>
      </c>
      <c r="DH58" s="134">
        <f t="shared" si="166"/>
        <v>0</v>
      </c>
      <c r="DI58" s="636" t="s">
        <v>18</v>
      </c>
      <c r="DJ58" s="598" t="s">
        <v>117</v>
      </c>
      <c r="DK58" s="29">
        <v>0</v>
      </c>
      <c r="DL58" s="144">
        <v>0</v>
      </c>
      <c r="DM58" s="29">
        <v>0</v>
      </c>
      <c r="DN58" s="29"/>
      <c r="DO58" s="29">
        <v>0</v>
      </c>
      <c r="DP58" s="29">
        <v>0</v>
      </c>
      <c r="DQ58" s="29">
        <v>0</v>
      </c>
      <c r="DR58" s="29">
        <v>0</v>
      </c>
      <c r="DS58" s="29">
        <v>0</v>
      </c>
      <c r="DT58" s="29">
        <v>0</v>
      </c>
      <c r="DU58" s="134">
        <f t="shared" si="170"/>
        <v>0</v>
      </c>
      <c r="DV58" s="134">
        <f t="shared" si="171"/>
        <v>0</v>
      </c>
      <c r="DW58" s="134">
        <f t="shared" si="172"/>
        <v>0</v>
      </c>
      <c r="DX58" s="134">
        <f t="shared" si="173"/>
        <v>0</v>
      </c>
      <c r="DY58" s="636" t="s">
        <v>18</v>
      </c>
      <c r="DZ58" s="598" t="s">
        <v>117</v>
      </c>
      <c r="EA58" s="96">
        <f t="shared" si="189"/>
        <v>0</v>
      </c>
      <c r="EB58" s="96">
        <f t="shared" si="174"/>
        <v>0</v>
      </c>
      <c r="EC58" s="96">
        <f t="shared" si="175"/>
        <v>0</v>
      </c>
      <c r="ED58" s="96">
        <f t="shared" si="176"/>
        <v>0</v>
      </c>
      <c r="EE58" s="96">
        <f t="shared" si="177"/>
        <v>0</v>
      </c>
      <c r="EF58" s="96">
        <f t="shared" si="178"/>
        <v>0</v>
      </c>
      <c r="EG58" s="96">
        <f t="shared" si="179"/>
        <v>0</v>
      </c>
      <c r="EH58" s="96">
        <f t="shared" si="180"/>
        <v>0</v>
      </c>
      <c r="EI58" s="96">
        <f t="shared" si="181"/>
        <v>0</v>
      </c>
      <c r="EJ58" s="96">
        <f t="shared" si="182"/>
        <v>0</v>
      </c>
      <c r="EK58" s="96">
        <f t="shared" si="183"/>
        <v>0</v>
      </c>
      <c r="EL58" s="96">
        <f t="shared" si="184"/>
        <v>0</v>
      </c>
      <c r="EM58" s="96">
        <f t="shared" si="185"/>
        <v>0</v>
      </c>
      <c r="EN58" s="96">
        <f t="shared" si="186"/>
        <v>0</v>
      </c>
    </row>
    <row r="59" spans="1:144" x14ac:dyDescent="0.25">
      <c r="A59" s="636"/>
      <c r="B59" s="727" t="s">
        <v>239</v>
      </c>
      <c r="C59" s="29">
        <v>0</v>
      </c>
      <c r="D59" s="144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/>
      <c r="L59" s="29">
        <v>0</v>
      </c>
      <c r="M59" s="17">
        <f t="shared" si="124"/>
        <v>0</v>
      </c>
      <c r="N59" s="139">
        <f t="shared" si="231"/>
        <v>0</v>
      </c>
      <c r="O59" s="139">
        <f t="shared" si="232"/>
        <v>0</v>
      </c>
      <c r="P59" s="139">
        <f t="shared" si="127"/>
        <v>0</v>
      </c>
      <c r="Q59" s="636"/>
      <c r="R59" s="727" t="s">
        <v>239</v>
      </c>
      <c r="S59" s="29">
        <v>0</v>
      </c>
      <c r="T59" s="144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29">
        <v>0</v>
      </c>
      <c r="AA59" s="29">
        <v>0</v>
      </c>
      <c r="AB59" s="29">
        <v>0</v>
      </c>
      <c r="AC59" s="139">
        <f t="shared" si="130"/>
        <v>0</v>
      </c>
      <c r="AD59" s="139">
        <f t="shared" si="131"/>
        <v>0</v>
      </c>
      <c r="AE59" s="139">
        <f t="shared" si="132"/>
        <v>0</v>
      </c>
      <c r="AF59" s="139">
        <f t="shared" si="187"/>
        <v>0</v>
      </c>
      <c r="AG59" s="636"/>
      <c r="AH59" s="598" t="s">
        <v>239</v>
      </c>
      <c r="AI59" s="29">
        <v>0</v>
      </c>
      <c r="AJ59" s="29">
        <v>0</v>
      </c>
      <c r="AK59" s="29">
        <v>0</v>
      </c>
      <c r="AL59" s="29"/>
      <c r="AM59" s="29">
        <v>0</v>
      </c>
      <c r="AN59" s="29">
        <v>0</v>
      </c>
      <c r="AO59" s="29">
        <v>0</v>
      </c>
      <c r="AP59" s="29">
        <v>0</v>
      </c>
      <c r="AQ59" s="29">
        <v>0</v>
      </c>
      <c r="AR59" s="29">
        <v>0</v>
      </c>
      <c r="AS59" s="17">
        <f t="shared" si="136"/>
        <v>0</v>
      </c>
      <c r="AT59" s="139">
        <f t="shared" si="137"/>
        <v>0</v>
      </c>
      <c r="AU59" s="139">
        <f t="shared" si="138"/>
        <v>0</v>
      </c>
      <c r="AV59" s="139">
        <f t="shared" si="188"/>
        <v>0</v>
      </c>
      <c r="AW59" s="636"/>
      <c r="AX59" s="598" t="s">
        <v>239</v>
      </c>
      <c r="AY59" s="29">
        <v>0</v>
      </c>
      <c r="AZ59" s="29">
        <v>0</v>
      </c>
      <c r="BA59" s="29">
        <v>0</v>
      </c>
      <c r="BB59" s="29"/>
      <c r="BC59" s="29">
        <v>0</v>
      </c>
      <c r="BD59" s="29">
        <v>0</v>
      </c>
      <c r="BE59" s="29">
        <v>0</v>
      </c>
      <c r="BF59" s="29">
        <v>0</v>
      </c>
      <c r="BG59" s="29">
        <v>0</v>
      </c>
      <c r="BH59" s="29">
        <v>0</v>
      </c>
      <c r="BI59" s="17">
        <f t="shared" si="142"/>
        <v>0</v>
      </c>
      <c r="BJ59" s="139">
        <f t="shared" si="143"/>
        <v>0</v>
      </c>
      <c r="BK59" s="139">
        <f t="shared" si="144"/>
        <v>0</v>
      </c>
      <c r="BL59" s="139">
        <f t="shared" si="145"/>
        <v>0</v>
      </c>
      <c r="BM59" s="636"/>
      <c r="BN59" s="598" t="s">
        <v>239</v>
      </c>
      <c r="BO59" s="29">
        <v>0</v>
      </c>
      <c r="BP59" s="29">
        <v>0</v>
      </c>
      <c r="BQ59" s="29">
        <v>0</v>
      </c>
      <c r="BR59" s="29"/>
      <c r="BS59" s="29">
        <v>0</v>
      </c>
      <c r="BT59" s="29">
        <v>0</v>
      </c>
      <c r="BU59" s="29">
        <v>0</v>
      </c>
      <c r="BV59" s="29">
        <v>0</v>
      </c>
      <c r="BW59" s="29">
        <v>0</v>
      </c>
      <c r="BX59" s="29">
        <v>0</v>
      </c>
      <c r="BY59" s="17">
        <f t="shared" si="149"/>
        <v>0</v>
      </c>
      <c r="BZ59" s="139">
        <f t="shared" si="150"/>
        <v>0</v>
      </c>
      <c r="CA59" s="139">
        <f t="shared" si="151"/>
        <v>0</v>
      </c>
      <c r="CB59" s="139">
        <f t="shared" si="152"/>
        <v>0</v>
      </c>
      <c r="CC59" s="636"/>
      <c r="CD59" s="598" t="s">
        <v>239</v>
      </c>
      <c r="CE59" s="29">
        <v>0</v>
      </c>
      <c r="CF59" s="29">
        <v>0</v>
      </c>
      <c r="CG59" s="29">
        <v>0</v>
      </c>
      <c r="CH59" s="29"/>
      <c r="CI59" s="29">
        <v>0</v>
      </c>
      <c r="CJ59" s="29">
        <v>0</v>
      </c>
      <c r="CK59" s="29">
        <v>0</v>
      </c>
      <c r="CL59" s="29">
        <v>0</v>
      </c>
      <c r="CM59" s="29">
        <v>0</v>
      </c>
      <c r="CN59" s="29">
        <v>0</v>
      </c>
      <c r="CO59" s="17">
        <f t="shared" si="156"/>
        <v>0</v>
      </c>
      <c r="CP59" s="139">
        <f t="shared" si="157"/>
        <v>0</v>
      </c>
      <c r="CQ59" s="139">
        <f t="shared" si="158"/>
        <v>0</v>
      </c>
      <c r="CR59" s="139">
        <f t="shared" si="159"/>
        <v>0</v>
      </c>
      <c r="CS59" s="636"/>
      <c r="CT59" s="598" t="s">
        <v>239</v>
      </c>
      <c r="CU59" s="29">
        <v>0</v>
      </c>
      <c r="CV59" s="29">
        <v>0</v>
      </c>
      <c r="CW59" s="29">
        <v>0</v>
      </c>
      <c r="CX59" s="29"/>
      <c r="CY59" s="29">
        <v>0</v>
      </c>
      <c r="CZ59" s="29">
        <v>0</v>
      </c>
      <c r="DA59" s="29">
        <v>0</v>
      </c>
      <c r="DB59" s="29">
        <v>0</v>
      </c>
      <c r="DC59" s="29">
        <v>0</v>
      </c>
      <c r="DD59" s="29">
        <v>0</v>
      </c>
      <c r="DE59" s="134">
        <f t="shared" si="163"/>
        <v>0</v>
      </c>
      <c r="DF59" s="134">
        <f t="shared" si="164"/>
        <v>0</v>
      </c>
      <c r="DG59" s="134">
        <f t="shared" si="165"/>
        <v>0</v>
      </c>
      <c r="DH59" s="134">
        <f t="shared" si="166"/>
        <v>0</v>
      </c>
      <c r="DI59" s="636"/>
      <c r="DJ59" s="598" t="s">
        <v>239</v>
      </c>
      <c r="DK59" s="29">
        <v>0</v>
      </c>
      <c r="DL59" s="144">
        <v>0</v>
      </c>
      <c r="DM59" s="29">
        <v>0</v>
      </c>
      <c r="DN59" s="29"/>
      <c r="DO59" s="29">
        <v>0</v>
      </c>
      <c r="DP59" s="29">
        <v>0</v>
      </c>
      <c r="DQ59" s="29">
        <v>0</v>
      </c>
      <c r="DR59" s="29">
        <v>0</v>
      </c>
      <c r="DS59" s="29">
        <v>0</v>
      </c>
      <c r="DT59" s="29">
        <v>0</v>
      </c>
      <c r="DU59" s="134">
        <f t="shared" si="170"/>
        <v>0</v>
      </c>
      <c r="DV59" s="134">
        <f t="shared" si="171"/>
        <v>0</v>
      </c>
      <c r="DW59" s="134">
        <f t="shared" si="172"/>
        <v>0</v>
      </c>
      <c r="DX59" s="134">
        <f t="shared" si="173"/>
        <v>0</v>
      </c>
      <c r="DY59" s="636"/>
      <c r="DZ59" s="598" t="s">
        <v>239</v>
      </c>
      <c r="EA59" s="96">
        <f t="shared" si="189"/>
        <v>0</v>
      </c>
      <c r="EB59" s="96">
        <f t="shared" si="174"/>
        <v>0</v>
      </c>
      <c r="EC59" s="96">
        <f t="shared" si="175"/>
        <v>0</v>
      </c>
      <c r="ED59" s="96">
        <f t="shared" si="176"/>
        <v>0</v>
      </c>
      <c r="EE59" s="96">
        <f t="shared" si="177"/>
        <v>0</v>
      </c>
      <c r="EF59" s="96">
        <f t="shared" si="178"/>
        <v>0</v>
      </c>
      <c r="EG59" s="96">
        <f t="shared" si="179"/>
        <v>0</v>
      </c>
      <c r="EH59" s="96">
        <f t="shared" si="180"/>
        <v>0</v>
      </c>
      <c r="EI59" s="96">
        <f t="shared" si="181"/>
        <v>0</v>
      </c>
      <c r="EJ59" s="96">
        <f t="shared" si="182"/>
        <v>0</v>
      </c>
      <c r="EK59" s="96">
        <f t="shared" si="183"/>
        <v>0</v>
      </c>
      <c r="EL59" s="96">
        <f t="shared" si="184"/>
        <v>0</v>
      </c>
      <c r="EM59" s="96">
        <f t="shared" si="185"/>
        <v>0</v>
      </c>
      <c r="EN59" s="96">
        <f t="shared" si="186"/>
        <v>0</v>
      </c>
    </row>
    <row r="60" spans="1:144" s="181" customFormat="1" x14ac:dyDescent="0.25">
      <c r="A60" s="642"/>
      <c r="B60" s="727" t="s">
        <v>238</v>
      </c>
      <c r="C60" s="29"/>
      <c r="D60" s="144"/>
      <c r="E60" s="29"/>
      <c r="F60" s="29"/>
      <c r="G60" s="29"/>
      <c r="H60" s="29"/>
      <c r="I60" s="29"/>
      <c r="J60" s="29"/>
      <c r="K60" s="29"/>
      <c r="L60" s="29"/>
      <c r="M60" s="139"/>
      <c r="N60" s="139"/>
      <c r="O60" s="139"/>
      <c r="P60" s="139">
        <f t="shared" si="127"/>
        <v>0</v>
      </c>
      <c r="Q60" s="642"/>
      <c r="R60" s="727" t="s">
        <v>238</v>
      </c>
      <c r="S60" s="29"/>
      <c r="T60" s="144"/>
      <c r="U60" s="29"/>
      <c r="V60" s="29"/>
      <c r="W60" s="29"/>
      <c r="X60" s="29"/>
      <c r="Y60" s="29"/>
      <c r="Z60" s="29"/>
      <c r="AA60" s="29"/>
      <c r="AB60" s="29"/>
      <c r="AC60" s="139"/>
      <c r="AD60" s="139"/>
      <c r="AE60" s="139"/>
      <c r="AF60" s="139">
        <f t="shared" si="187"/>
        <v>0</v>
      </c>
      <c r="AG60" s="642"/>
      <c r="AH60" s="598" t="s">
        <v>238</v>
      </c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139"/>
      <c r="AT60" s="139"/>
      <c r="AU60" s="139"/>
      <c r="AV60" s="139">
        <f t="shared" si="188"/>
        <v>0</v>
      </c>
      <c r="AW60" s="642"/>
      <c r="AX60" s="598" t="s">
        <v>238</v>
      </c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139"/>
      <c r="BJ60" s="139"/>
      <c r="BK60" s="139"/>
      <c r="BL60" s="139">
        <f t="shared" si="145"/>
        <v>0</v>
      </c>
      <c r="BM60" s="642"/>
      <c r="BN60" s="598" t="s">
        <v>238</v>
      </c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139"/>
      <c r="BZ60" s="139"/>
      <c r="CA60" s="139"/>
      <c r="CB60" s="139">
        <f t="shared" si="152"/>
        <v>0</v>
      </c>
      <c r="CC60" s="642"/>
      <c r="CD60" s="598" t="s">
        <v>238</v>
      </c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139"/>
      <c r="CP60" s="139"/>
      <c r="CQ60" s="139"/>
      <c r="CR60" s="139">
        <f t="shared" si="159"/>
        <v>0</v>
      </c>
      <c r="CS60" s="642"/>
      <c r="CT60" s="598" t="s">
        <v>238</v>
      </c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134"/>
      <c r="DF60" s="134"/>
      <c r="DG60" s="134"/>
      <c r="DH60" s="134">
        <f t="shared" si="166"/>
        <v>0</v>
      </c>
      <c r="DI60" s="642"/>
      <c r="DJ60" s="598" t="s">
        <v>238</v>
      </c>
      <c r="DK60" s="29"/>
      <c r="DL60" s="144"/>
      <c r="DM60" s="29"/>
      <c r="DN60" s="29"/>
      <c r="DO60" s="29"/>
      <c r="DP60" s="29"/>
      <c r="DQ60" s="29"/>
      <c r="DR60" s="29"/>
      <c r="DS60" s="29"/>
      <c r="DT60" s="29"/>
      <c r="DU60" s="134"/>
      <c r="DV60" s="134"/>
      <c r="DW60" s="134"/>
      <c r="DX60" s="134">
        <f t="shared" si="173"/>
        <v>0</v>
      </c>
      <c r="DY60" s="642"/>
      <c r="DZ60" s="598" t="s">
        <v>238</v>
      </c>
      <c r="EA60" s="96">
        <f t="shared" si="189"/>
        <v>0</v>
      </c>
      <c r="EB60" s="96">
        <f t="shared" si="174"/>
        <v>0</v>
      </c>
      <c r="EC60" s="96">
        <f t="shared" si="175"/>
        <v>0</v>
      </c>
      <c r="ED60" s="96">
        <f t="shared" si="176"/>
        <v>0</v>
      </c>
      <c r="EE60" s="96">
        <f t="shared" si="177"/>
        <v>0</v>
      </c>
      <c r="EF60" s="96">
        <f t="shared" si="178"/>
        <v>0</v>
      </c>
      <c r="EG60" s="96">
        <f t="shared" si="179"/>
        <v>0</v>
      </c>
      <c r="EH60" s="96">
        <f t="shared" si="180"/>
        <v>0</v>
      </c>
      <c r="EI60" s="96">
        <f t="shared" si="181"/>
        <v>0</v>
      </c>
      <c r="EJ60" s="96">
        <f t="shared" si="182"/>
        <v>0</v>
      </c>
      <c r="EK60" s="96">
        <f t="shared" si="183"/>
        <v>0</v>
      </c>
      <c r="EL60" s="96">
        <f t="shared" si="184"/>
        <v>0</v>
      </c>
      <c r="EM60" s="96">
        <f t="shared" si="185"/>
        <v>0</v>
      </c>
      <c r="EN60" s="96">
        <f t="shared" si="186"/>
        <v>0</v>
      </c>
    </row>
    <row r="61" spans="1:144" x14ac:dyDescent="0.25">
      <c r="A61" s="636" t="s">
        <v>19</v>
      </c>
      <c r="B61" s="727" t="s">
        <v>119</v>
      </c>
      <c r="C61" s="29">
        <v>0</v>
      </c>
      <c r="D61" s="144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/>
      <c r="L61" s="29">
        <v>0</v>
      </c>
      <c r="M61" s="17">
        <f t="shared" si="124"/>
        <v>0</v>
      </c>
      <c r="N61" s="139">
        <f t="shared" ref="N61:N63" si="233">D61+H61+L61</f>
        <v>0</v>
      </c>
      <c r="O61" s="139">
        <f t="shared" ref="O61:O63" si="234">E61+I61+M61</f>
        <v>0</v>
      </c>
      <c r="P61" s="139">
        <f t="shared" si="127"/>
        <v>0</v>
      </c>
      <c r="Q61" s="636" t="s">
        <v>19</v>
      </c>
      <c r="R61" s="727" t="s">
        <v>119</v>
      </c>
      <c r="S61" s="29">
        <v>0</v>
      </c>
      <c r="T61" s="144">
        <v>0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29">
        <v>0</v>
      </c>
      <c r="AA61" s="29">
        <v>0</v>
      </c>
      <c r="AB61" s="29">
        <v>0</v>
      </c>
      <c r="AC61" s="139">
        <f t="shared" si="130"/>
        <v>0</v>
      </c>
      <c r="AD61" s="139">
        <f t="shared" si="131"/>
        <v>0</v>
      </c>
      <c r="AE61" s="139">
        <f t="shared" si="132"/>
        <v>0</v>
      </c>
      <c r="AF61" s="139">
        <f t="shared" si="187"/>
        <v>0</v>
      </c>
      <c r="AG61" s="636" t="s">
        <v>19</v>
      </c>
      <c r="AH61" s="598" t="s">
        <v>119</v>
      </c>
      <c r="AI61" s="29">
        <v>0</v>
      </c>
      <c r="AJ61" s="29">
        <v>0</v>
      </c>
      <c r="AK61" s="29">
        <v>0</v>
      </c>
      <c r="AL61" s="29"/>
      <c r="AM61" s="29">
        <v>0</v>
      </c>
      <c r="AN61" s="29">
        <v>0</v>
      </c>
      <c r="AO61" s="29">
        <v>0</v>
      </c>
      <c r="AP61" s="29">
        <v>0</v>
      </c>
      <c r="AQ61" s="29">
        <v>0</v>
      </c>
      <c r="AR61" s="29">
        <v>0</v>
      </c>
      <c r="AS61" s="17">
        <f t="shared" si="136"/>
        <v>0</v>
      </c>
      <c r="AT61" s="139">
        <f t="shared" si="137"/>
        <v>0</v>
      </c>
      <c r="AU61" s="139">
        <f t="shared" si="138"/>
        <v>0</v>
      </c>
      <c r="AV61" s="139">
        <f t="shared" si="188"/>
        <v>0</v>
      </c>
      <c r="AW61" s="636" t="s">
        <v>19</v>
      </c>
      <c r="AX61" s="598" t="s">
        <v>119</v>
      </c>
      <c r="AY61" s="29">
        <v>0</v>
      </c>
      <c r="AZ61" s="29">
        <v>0</v>
      </c>
      <c r="BA61" s="29">
        <v>0</v>
      </c>
      <c r="BB61" s="29"/>
      <c r="BC61" s="29">
        <v>0</v>
      </c>
      <c r="BD61" s="29">
        <v>0</v>
      </c>
      <c r="BE61" s="29">
        <v>0</v>
      </c>
      <c r="BF61" s="29">
        <v>0</v>
      </c>
      <c r="BG61" s="29">
        <v>0</v>
      </c>
      <c r="BH61" s="29">
        <v>0</v>
      </c>
      <c r="BI61" s="17">
        <f t="shared" si="142"/>
        <v>0</v>
      </c>
      <c r="BJ61" s="139">
        <f t="shared" si="143"/>
        <v>0</v>
      </c>
      <c r="BK61" s="139">
        <f t="shared" si="144"/>
        <v>0</v>
      </c>
      <c r="BL61" s="139">
        <f t="shared" si="145"/>
        <v>0</v>
      </c>
      <c r="BM61" s="636" t="s">
        <v>19</v>
      </c>
      <c r="BN61" s="598" t="s">
        <v>119</v>
      </c>
      <c r="BO61" s="29">
        <v>0</v>
      </c>
      <c r="BP61" s="29">
        <v>0</v>
      </c>
      <c r="BQ61" s="29">
        <v>0</v>
      </c>
      <c r="BR61" s="29"/>
      <c r="BS61" s="29">
        <v>0</v>
      </c>
      <c r="BT61" s="29">
        <v>0</v>
      </c>
      <c r="BU61" s="29">
        <v>0</v>
      </c>
      <c r="BV61" s="29">
        <v>0</v>
      </c>
      <c r="BW61" s="29">
        <v>0</v>
      </c>
      <c r="BX61" s="29">
        <v>0</v>
      </c>
      <c r="BY61" s="17">
        <f t="shared" si="149"/>
        <v>0</v>
      </c>
      <c r="BZ61" s="139">
        <f t="shared" si="150"/>
        <v>0</v>
      </c>
      <c r="CA61" s="139">
        <f t="shared" si="151"/>
        <v>0</v>
      </c>
      <c r="CB61" s="139">
        <f t="shared" si="152"/>
        <v>0</v>
      </c>
      <c r="CC61" s="636" t="s">
        <v>19</v>
      </c>
      <c r="CD61" s="598" t="s">
        <v>119</v>
      </c>
      <c r="CE61" s="29">
        <v>0</v>
      </c>
      <c r="CF61" s="29">
        <v>0</v>
      </c>
      <c r="CG61" s="29">
        <v>0</v>
      </c>
      <c r="CH61" s="29"/>
      <c r="CI61" s="29">
        <v>0</v>
      </c>
      <c r="CJ61" s="29">
        <v>0</v>
      </c>
      <c r="CK61" s="29">
        <v>0</v>
      </c>
      <c r="CL61" s="29">
        <v>0</v>
      </c>
      <c r="CM61" s="29">
        <v>0</v>
      </c>
      <c r="CN61" s="29">
        <v>0</v>
      </c>
      <c r="CO61" s="17">
        <f t="shared" si="156"/>
        <v>0</v>
      </c>
      <c r="CP61" s="139">
        <f t="shared" si="157"/>
        <v>0</v>
      </c>
      <c r="CQ61" s="139">
        <f t="shared" si="158"/>
        <v>0</v>
      </c>
      <c r="CR61" s="139">
        <f t="shared" si="159"/>
        <v>0</v>
      </c>
      <c r="CS61" s="636" t="s">
        <v>19</v>
      </c>
      <c r="CT61" s="598" t="s">
        <v>119</v>
      </c>
      <c r="CU61" s="29">
        <v>0</v>
      </c>
      <c r="CV61" s="29">
        <v>0</v>
      </c>
      <c r="CW61" s="29">
        <v>0</v>
      </c>
      <c r="CX61" s="29"/>
      <c r="CY61" s="29">
        <v>0</v>
      </c>
      <c r="CZ61" s="29">
        <v>0</v>
      </c>
      <c r="DA61" s="29">
        <v>0</v>
      </c>
      <c r="DB61" s="29">
        <v>0</v>
      </c>
      <c r="DC61" s="29">
        <v>0</v>
      </c>
      <c r="DD61" s="29">
        <v>0</v>
      </c>
      <c r="DE61" s="134">
        <f t="shared" si="163"/>
        <v>0</v>
      </c>
      <c r="DF61" s="134">
        <f t="shared" si="164"/>
        <v>0</v>
      </c>
      <c r="DG61" s="134">
        <f t="shared" si="165"/>
        <v>0</v>
      </c>
      <c r="DH61" s="134">
        <f t="shared" si="166"/>
        <v>0</v>
      </c>
      <c r="DI61" s="636" t="s">
        <v>19</v>
      </c>
      <c r="DJ61" s="598" t="s">
        <v>119</v>
      </c>
      <c r="DK61" s="29">
        <v>0</v>
      </c>
      <c r="DL61" s="144">
        <v>0</v>
      </c>
      <c r="DM61" s="29">
        <v>0</v>
      </c>
      <c r="DN61" s="29"/>
      <c r="DO61" s="29">
        <v>0</v>
      </c>
      <c r="DP61" s="29">
        <v>0</v>
      </c>
      <c r="DQ61" s="29">
        <v>0</v>
      </c>
      <c r="DR61" s="29">
        <v>0</v>
      </c>
      <c r="DS61" s="29">
        <v>0</v>
      </c>
      <c r="DT61" s="29">
        <v>0</v>
      </c>
      <c r="DU61" s="134">
        <f t="shared" si="170"/>
        <v>0</v>
      </c>
      <c r="DV61" s="134">
        <f t="shared" si="171"/>
        <v>0</v>
      </c>
      <c r="DW61" s="134">
        <f t="shared" si="172"/>
        <v>0</v>
      </c>
      <c r="DX61" s="134">
        <f t="shared" si="173"/>
        <v>0</v>
      </c>
      <c r="DY61" s="636" t="s">
        <v>19</v>
      </c>
      <c r="DZ61" s="598" t="s">
        <v>119</v>
      </c>
      <c r="EA61" s="96">
        <f t="shared" si="189"/>
        <v>0</v>
      </c>
      <c r="EB61" s="96">
        <f t="shared" si="174"/>
        <v>0</v>
      </c>
      <c r="EC61" s="96">
        <f t="shared" si="175"/>
        <v>0</v>
      </c>
      <c r="ED61" s="96">
        <f t="shared" si="176"/>
        <v>0</v>
      </c>
      <c r="EE61" s="96">
        <f t="shared" si="177"/>
        <v>0</v>
      </c>
      <c r="EF61" s="96">
        <f t="shared" si="178"/>
        <v>0</v>
      </c>
      <c r="EG61" s="96">
        <f t="shared" si="179"/>
        <v>0</v>
      </c>
      <c r="EH61" s="96">
        <f t="shared" si="180"/>
        <v>0</v>
      </c>
      <c r="EI61" s="96">
        <f t="shared" si="181"/>
        <v>0</v>
      </c>
      <c r="EJ61" s="96">
        <f t="shared" si="182"/>
        <v>0</v>
      </c>
      <c r="EK61" s="96">
        <f t="shared" si="183"/>
        <v>0</v>
      </c>
      <c r="EL61" s="96">
        <f t="shared" si="184"/>
        <v>0</v>
      </c>
      <c r="EM61" s="96">
        <f t="shared" si="185"/>
        <v>0</v>
      </c>
      <c r="EN61" s="96">
        <f t="shared" si="186"/>
        <v>0</v>
      </c>
    </row>
    <row r="62" spans="1:144" s="208" customFormat="1" x14ac:dyDescent="0.25">
      <c r="A62" s="799" t="s">
        <v>20</v>
      </c>
      <c r="B62" s="729" t="s">
        <v>120</v>
      </c>
      <c r="C62" s="85">
        <f t="shared" ref="C62:L62" si="235">C55+C57+C58+C61</f>
        <v>0</v>
      </c>
      <c r="D62" s="85">
        <f t="shared" si="235"/>
        <v>0</v>
      </c>
      <c r="E62" s="85">
        <f t="shared" si="235"/>
        <v>0</v>
      </c>
      <c r="F62" s="85">
        <v>0</v>
      </c>
      <c r="G62" s="85">
        <f t="shared" si="235"/>
        <v>0</v>
      </c>
      <c r="H62" s="85">
        <f t="shared" ref="H62" si="236">H55+H57+H58+H61</f>
        <v>0</v>
      </c>
      <c r="I62" s="85">
        <f t="shared" si="235"/>
        <v>0</v>
      </c>
      <c r="J62" s="85">
        <f t="shared" si="235"/>
        <v>0</v>
      </c>
      <c r="K62" s="85"/>
      <c r="L62" s="85">
        <f t="shared" si="235"/>
        <v>0</v>
      </c>
      <c r="M62" s="85">
        <f t="shared" si="124"/>
        <v>0</v>
      </c>
      <c r="N62" s="85">
        <f t="shared" si="233"/>
        <v>0</v>
      </c>
      <c r="O62" s="85">
        <f t="shared" si="234"/>
        <v>0</v>
      </c>
      <c r="P62" s="85">
        <f t="shared" si="127"/>
        <v>0</v>
      </c>
      <c r="Q62" s="799" t="s">
        <v>20</v>
      </c>
      <c r="R62" s="729" t="s">
        <v>120</v>
      </c>
      <c r="S62" s="85">
        <f t="shared" ref="S62:AB62" si="237">S55+S57+S58+S61</f>
        <v>0</v>
      </c>
      <c r="T62" s="85">
        <f t="shared" si="237"/>
        <v>0</v>
      </c>
      <c r="U62" s="85">
        <f t="shared" si="237"/>
        <v>0</v>
      </c>
      <c r="V62" s="85">
        <f t="shared" si="237"/>
        <v>0</v>
      </c>
      <c r="W62" s="85">
        <f t="shared" si="237"/>
        <v>0</v>
      </c>
      <c r="X62" s="85">
        <f t="shared" ref="X62:Y62" si="238">X55+X57+X58+X61</f>
        <v>0</v>
      </c>
      <c r="Y62" s="85">
        <f t="shared" si="238"/>
        <v>0</v>
      </c>
      <c r="Z62" s="85">
        <f t="shared" si="237"/>
        <v>0</v>
      </c>
      <c r="AA62" s="85">
        <f t="shared" si="237"/>
        <v>0</v>
      </c>
      <c r="AB62" s="85">
        <f t="shared" si="237"/>
        <v>0</v>
      </c>
      <c r="AC62" s="85">
        <f t="shared" si="130"/>
        <v>0</v>
      </c>
      <c r="AD62" s="85">
        <f t="shared" si="131"/>
        <v>0</v>
      </c>
      <c r="AE62" s="85">
        <f t="shared" si="132"/>
        <v>0</v>
      </c>
      <c r="AF62" s="85">
        <f t="shared" si="187"/>
        <v>0</v>
      </c>
      <c r="AG62" s="799" t="s">
        <v>20</v>
      </c>
      <c r="AH62" s="729" t="s">
        <v>120</v>
      </c>
      <c r="AI62" s="85">
        <f t="shared" ref="AI62:AR62" si="239">AI55+AI57+AI58+AI61</f>
        <v>0</v>
      </c>
      <c r="AJ62" s="85">
        <f t="shared" ref="AJ62" si="240">AJ55+AJ57+AJ58+AJ61</f>
        <v>0</v>
      </c>
      <c r="AK62" s="85">
        <f t="shared" si="239"/>
        <v>0</v>
      </c>
      <c r="AL62" s="85"/>
      <c r="AM62" s="85">
        <f t="shared" si="239"/>
        <v>0</v>
      </c>
      <c r="AN62" s="85">
        <f t="shared" ref="AN62:AO62" si="241">AN55+AN57+AN58+AN61</f>
        <v>0</v>
      </c>
      <c r="AO62" s="85">
        <f t="shared" si="241"/>
        <v>0</v>
      </c>
      <c r="AP62" s="85">
        <f t="shared" si="239"/>
        <v>0</v>
      </c>
      <c r="AQ62" s="85">
        <f t="shared" si="239"/>
        <v>0</v>
      </c>
      <c r="AR62" s="85">
        <f t="shared" si="239"/>
        <v>0</v>
      </c>
      <c r="AS62" s="85">
        <f t="shared" si="136"/>
        <v>0</v>
      </c>
      <c r="AT62" s="85">
        <f t="shared" si="137"/>
        <v>0</v>
      </c>
      <c r="AU62" s="85">
        <f t="shared" si="138"/>
        <v>0</v>
      </c>
      <c r="AV62" s="85">
        <f t="shared" si="188"/>
        <v>0</v>
      </c>
      <c r="AW62" s="799" t="s">
        <v>20</v>
      </c>
      <c r="AX62" s="729" t="s">
        <v>120</v>
      </c>
      <c r="AY62" s="85">
        <f t="shared" ref="AY62:BH62" si="242">AY55+AY57+AY58+AY61</f>
        <v>0</v>
      </c>
      <c r="AZ62" s="85">
        <f t="shared" si="242"/>
        <v>0</v>
      </c>
      <c r="BA62" s="85">
        <f t="shared" ref="BA62" si="243">BA55+BA57+BA58+BA61</f>
        <v>0</v>
      </c>
      <c r="BB62" s="85"/>
      <c r="BC62" s="85">
        <f t="shared" si="242"/>
        <v>0</v>
      </c>
      <c r="BD62" s="85">
        <f t="shared" ref="BD62:BE62" si="244">BD55+BD57+BD58+BD61</f>
        <v>0</v>
      </c>
      <c r="BE62" s="85">
        <f t="shared" si="244"/>
        <v>0</v>
      </c>
      <c r="BF62" s="85">
        <f t="shared" si="242"/>
        <v>0</v>
      </c>
      <c r="BG62" s="85">
        <f t="shared" si="242"/>
        <v>0</v>
      </c>
      <c r="BH62" s="85">
        <f t="shared" si="242"/>
        <v>0</v>
      </c>
      <c r="BI62" s="85">
        <f t="shared" si="142"/>
        <v>0</v>
      </c>
      <c r="BJ62" s="85">
        <f t="shared" si="143"/>
        <v>0</v>
      </c>
      <c r="BK62" s="85">
        <f t="shared" si="144"/>
        <v>0</v>
      </c>
      <c r="BL62" s="85">
        <f t="shared" si="145"/>
        <v>0</v>
      </c>
      <c r="BM62" s="799" t="s">
        <v>20</v>
      </c>
      <c r="BN62" s="729" t="s">
        <v>120</v>
      </c>
      <c r="BO62" s="85">
        <f t="shared" ref="BO62:BX62" si="245">BO55+BO57+BO58+BO61</f>
        <v>0</v>
      </c>
      <c r="BP62" s="85">
        <f t="shared" ref="BP62" si="246">BP55+BP57+BP58+BP61</f>
        <v>0</v>
      </c>
      <c r="BQ62" s="85">
        <f t="shared" si="245"/>
        <v>0</v>
      </c>
      <c r="BR62" s="85"/>
      <c r="BS62" s="85">
        <f t="shared" si="245"/>
        <v>0</v>
      </c>
      <c r="BT62" s="85">
        <f t="shared" ref="BT62:BU62" si="247">BT55+BT57+BT58+BT61</f>
        <v>0</v>
      </c>
      <c r="BU62" s="85">
        <f t="shared" si="247"/>
        <v>0</v>
      </c>
      <c r="BV62" s="85">
        <f t="shared" si="245"/>
        <v>0</v>
      </c>
      <c r="BW62" s="85">
        <f t="shared" si="245"/>
        <v>0</v>
      </c>
      <c r="BX62" s="85">
        <f t="shared" si="245"/>
        <v>0</v>
      </c>
      <c r="BY62" s="85">
        <f t="shared" si="149"/>
        <v>0</v>
      </c>
      <c r="BZ62" s="85">
        <f t="shared" si="150"/>
        <v>0</v>
      </c>
      <c r="CA62" s="85">
        <f t="shared" si="151"/>
        <v>0</v>
      </c>
      <c r="CB62" s="85">
        <f t="shared" si="152"/>
        <v>0</v>
      </c>
      <c r="CC62" s="799" t="s">
        <v>20</v>
      </c>
      <c r="CD62" s="729" t="s">
        <v>120</v>
      </c>
      <c r="CE62" s="85">
        <f t="shared" ref="CE62:CN62" si="248">CE55+CE57+CE58+CE61</f>
        <v>0</v>
      </c>
      <c r="CF62" s="85">
        <f t="shared" ref="CF62:CG62" si="249">CF55+CF57+CF58+CF61</f>
        <v>0</v>
      </c>
      <c r="CG62" s="85">
        <f t="shared" si="249"/>
        <v>0</v>
      </c>
      <c r="CH62" s="85">
        <f t="shared" ref="CH62" si="250">CH55+CH57+CH58+CH61</f>
        <v>0</v>
      </c>
      <c r="CI62" s="85">
        <f t="shared" si="248"/>
        <v>0</v>
      </c>
      <c r="CJ62" s="85">
        <f t="shared" ref="CJ62:CK62" si="251">CJ55+CJ57+CJ58+CJ61</f>
        <v>0</v>
      </c>
      <c r="CK62" s="85">
        <f t="shared" si="251"/>
        <v>0</v>
      </c>
      <c r="CL62" s="85">
        <f t="shared" si="248"/>
        <v>0</v>
      </c>
      <c r="CM62" s="85">
        <f t="shared" si="248"/>
        <v>0</v>
      </c>
      <c r="CN62" s="85">
        <f t="shared" si="248"/>
        <v>0</v>
      </c>
      <c r="CO62" s="85">
        <f t="shared" si="156"/>
        <v>0</v>
      </c>
      <c r="CP62" s="85">
        <f t="shared" si="157"/>
        <v>0</v>
      </c>
      <c r="CQ62" s="85">
        <f t="shared" si="158"/>
        <v>0</v>
      </c>
      <c r="CR62" s="85">
        <f t="shared" si="159"/>
        <v>0</v>
      </c>
      <c r="CS62" s="799" t="s">
        <v>20</v>
      </c>
      <c r="CT62" s="729" t="s">
        <v>120</v>
      </c>
      <c r="CU62" s="85">
        <f t="shared" ref="CU62:DD62" si="252">CU55+CU57+CU58+CU61</f>
        <v>0</v>
      </c>
      <c r="CV62" s="85">
        <f t="shared" ref="CV62:CW62" si="253">CV55+CV57+CV58+CV61</f>
        <v>0</v>
      </c>
      <c r="CW62" s="85">
        <f t="shared" si="253"/>
        <v>0</v>
      </c>
      <c r="CX62" s="85"/>
      <c r="CY62" s="85">
        <f t="shared" si="252"/>
        <v>0</v>
      </c>
      <c r="CZ62" s="85">
        <f t="shared" ref="CZ62:DA62" si="254">CZ55+CZ57+CZ58+CZ61</f>
        <v>0</v>
      </c>
      <c r="DA62" s="85">
        <f t="shared" si="254"/>
        <v>0</v>
      </c>
      <c r="DB62" s="85">
        <f t="shared" si="252"/>
        <v>0</v>
      </c>
      <c r="DC62" s="85">
        <f t="shared" si="252"/>
        <v>0</v>
      </c>
      <c r="DD62" s="85">
        <f t="shared" si="252"/>
        <v>0</v>
      </c>
      <c r="DE62" s="800">
        <f t="shared" si="163"/>
        <v>0</v>
      </c>
      <c r="DF62" s="800">
        <f t="shared" si="164"/>
        <v>0</v>
      </c>
      <c r="DG62" s="800">
        <f t="shared" si="165"/>
        <v>0</v>
      </c>
      <c r="DH62" s="800">
        <f t="shared" si="166"/>
        <v>0</v>
      </c>
      <c r="DI62" s="799" t="s">
        <v>20</v>
      </c>
      <c r="DJ62" s="729" t="s">
        <v>120</v>
      </c>
      <c r="DK62" s="85">
        <f t="shared" ref="DK62:DT62" si="255">DK55+DK57+DK58+DK61</f>
        <v>0</v>
      </c>
      <c r="DL62" s="85">
        <f t="shared" si="255"/>
        <v>0</v>
      </c>
      <c r="DM62" s="85">
        <f t="shared" ref="DM62:DN62" si="256">DM55+DM57+DM58+DM61</f>
        <v>0</v>
      </c>
      <c r="DN62" s="85">
        <f t="shared" si="256"/>
        <v>0</v>
      </c>
      <c r="DO62" s="85">
        <f t="shared" si="255"/>
        <v>0</v>
      </c>
      <c r="DP62" s="85">
        <f t="shared" ref="DP62:DQ62" si="257">DP55+DP57+DP58+DP61</f>
        <v>0</v>
      </c>
      <c r="DQ62" s="85">
        <f t="shared" si="257"/>
        <v>0</v>
      </c>
      <c r="DR62" s="85">
        <f t="shared" si="255"/>
        <v>0</v>
      </c>
      <c r="DS62" s="85">
        <f t="shared" si="255"/>
        <v>0</v>
      </c>
      <c r="DT62" s="85">
        <f t="shared" si="255"/>
        <v>0</v>
      </c>
      <c r="DU62" s="800">
        <f t="shared" si="170"/>
        <v>0</v>
      </c>
      <c r="DV62" s="800">
        <f t="shared" si="171"/>
        <v>0</v>
      </c>
      <c r="DW62" s="800">
        <f t="shared" si="172"/>
        <v>0</v>
      </c>
      <c r="DX62" s="800">
        <f t="shared" si="173"/>
        <v>0</v>
      </c>
      <c r="DY62" s="799" t="s">
        <v>20</v>
      </c>
      <c r="DZ62" s="729" t="s">
        <v>120</v>
      </c>
      <c r="EA62" s="321">
        <f t="shared" si="189"/>
        <v>0</v>
      </c>
      <c r="EB62" s="321">
        <f t="shared" si="174"/>
        <v>0</v>
      </c>
      <c r="EC62" s="321">
        <f t="shared" si="175"/>
        <v>0</v>
      </c>
      <c r="ED62" s="321">
        <f t="shared" si="176"/>
        <v>0</v>
      </c>
      <c r="EE62" s="321">
        <f t="shared" si="177"/>
        <v>0</v>
      </c>
      <c r="EF62" s="321">
        <f t="shared" si="178"/>
        <v>0</v>
      </c>
      <c r="EG62" s="321">
        <f t="shared" si="179"/>
        <v>0</v>
      </c>
      <c r="EH62" s="321">
        <f t="shared" si="180"/>
        <v>0</v>
      </c>
      <c r="EI62" s="321">
        <f t="shared" si="181"/>
        <v>0</v>
      </c>
      <c r="EJ62" s="321">
        <f t="shared" si="182"/>
        <v>0</v>
      </c>
      <c r="EK62" s="321">
        <f t="shared" si="183"/>
        <v>0</v>
      </c>
      <c r="EL62" s="321">
        <f t="shared" si="184"/>
        <v>0</v>
      </c>
      <c r="EM62" s="321">
        <f t="shared" si="185"/>
        <v>0</v>
      </c>
      <c r="EN62" s="321">
        <f t="shared" si="186"/>
        <v>0</v>
      </c>
    </row>
    <row r="63" spans="1:144" s="208" customFormat="1" ht="21" x14ac:dyDescent="0.25">
      <c r="A63" s="801" t="s">
        <v>21</v>
      </c>
      <c r="B63" s="731" t="s">
        <v>121</v>
      </c>
      <c r="C63" s="85">
        <f t="shared" ref="C63:L63" si="258">C54+C62</f>
        <v>392970000</v>
      </c>
      <c r="D63" s="85">
        <f t="shared" si="258"/>
        <v>417573778</v>
      </c>
      <c r="E63" s="85">
        <f t="shared" si="258"/>
        <v>449069000</v>
      </c>
      <c r="F63" s="85">
        <f t="shared" si="258"/>
        <v>451701105</v>
      </c>
      <c r="G63" s="85">
        <f t="shared" si="258"/>
        <v>0</v>
      </c>
      <c r="H63" s="85">
        <f t="shared" ref="H63" si="259">H54+H62</f>
        <v>0</v>
      </c>
      <c r="I63" s="85">
        <f t="shared" si="258"/>
        <v>0</v>
      </c>
      <c r="J63" s="85">
        <f t="shared" si="258"/>
        <v>0</v>
      </c>
      <c r="K63" s="85"/>
      <c r="L63" s="85">
        <f t="shared" si="258"/>
        <v>0</v>
      </c>
      <c r="M63" s="85">
        <f t="shared" si="124"/>
        <v>392970000</v>
      </c>
      <c r="N63" s="85">
        <f t="shared" si="233"/>
        <v>417573778</v>
      </c>
      <c r="O63" s="85">
        <f t="shared" si="234"/>
        <v>842039000</v>
      </c>
      <c r="P63" s="85">
        <f t="shared" si="127"/>
        <v>451701105</v>
      </c>
      <c r="Q63" s="801" t="s">
        <v>21</v>
      </c>
      <c r="R63" s="731" t="s">
        <v>121</v>
      </c>
      <c r="S63" s="85">
        <f t="shared" ref="S63:AB63" si="260">S54+S62</f>
        <v>65037000</v>
      </c>
      <c r="T63" s="85">
        <f t="shared" si="260"/>
        <v>67172869</v>
      </c>
      <c r="U63" s="85">
        <f t="shared" si="260"/>
        <v>52132000</v>
      </c>
      <c r="V63" s="85">
        <f t="shared" si="260"/>
        <v>57457876</v>
      </c>
      <c r="W63" s="85">
        <f t="shared" si="260"/>
        <v>0</v>
      </c>
      <c r="X63" s="85">
        <f t="shared" ref="X63:Y63" si="261">X54+X62</f>
        <v>0</v>
      </c>
      <c r="Y63" s="85">
        <f t="shared" si="261"/>
        <v>0</v>
      </c>
      <c r="Z63" s="85">
        <f t="shared" si="260"/>
        <v>0</v>
      </c>
      <c r="AA63" s="85">
        <f t="shared" si="260"/>
        <v>0</v>
      </c>
      <c r="AB63" s="85">
        <f t="shared" si="260"/>
        <v>0</v>
      </c>
      <c r="AC63" s="85">
        <f t="shared" si="130"/>
        <v>65037000</v>
      </c>
      <c r="AD63" s="85">
        <f t="shared" si="131"/>
        <v>67172869</v>
      </c>
      <c r="AE63" s="85">
        <f t="shared" si="132"/>
        <v>52132000</v>
      </c>
      <c r="AF63" s="85">
        <f t="shared" si="187"/>
        <v>57457876</v>
      </c>
      <c r="AG63" s="801" t="s">
        <v>21</v>
      </c>
      <c r="AH63" s="731" t="s">
        <v>121</v>
      </c>
      <c r="AI63" s="85">
        <f t="shared" ref="AI63:AR63" si="262">AI54+AI62</f>
        <v>108511000</v>
      </c>
      <c r="AJ63" s="85">
        <f t="shared" ref="AJ63" si="263">AJ54+AJ62</f>
        <v>110142677</v>
      </c>
      <c r="AK63" s="85">
        <f t="shared" si="262"/>
        <v>121502000</v>
      </c>
      <c r="AL63" s="85">
        <f t="shared" si="262"/>
        <v>121842677</v>
      </c>
      <c r="AM63" s="85">
        <f t="shared" si="262"/>
        <v>0</v>
      </c>
      <c r="AN63" s="85">
        <f t="shared" ref="AN63:AO63" si="264">AN54+AN62</f>
        <v>0</v>
      </c>
      <c r="AO63" s="85">
        <f t="shared" si="264"/>
        <v>0</v>
      </c>
      <c r="AP63" s="85">
        <f t="shared" si="262"/>
        <v>0</v>
      </c>
      <c r="AQ63" s="85">
        <f t="shared" si="262"/>
        <v>0</v>
      </c>
      <c r="AR63" s="85">
        <f t="shared" si="262"/>
        <v>0</v>
      </c>
      <c r="AS63" s="85">
        <f t="shared" si="136"/>
        <v>108511000</v>
      </c>
      <c r="AT63" s="85">
        <f t="shared" si="137"/>
        <v>110142677</v>
      </c>
      <c r="AU63" s="85">
        <f t="shared" si="138"/>
        <v>121502000</v>
      </c>
      <c r="AV63" s="85">
        <f t="shared" si="188"/>
        <v>121842677</v>
      </c>
      <c r="AW63" s="801" t="s">
        <v>21</v>
      </c>
      <c r="AX63" s="731" t="s">
        <v>121</v>
      </c>
      <c r="AY63" s="85">
        <f t="shared" ref="AY63:BH63" si="265">AY54+AY62</f>
        <v>256747000</v>
      </c>
      <c r="AZ63" s="85">
        <f t="shared" si="265"/>
        <v>260245561</v>
      </c>
      <c r="BA63" s="85">
        <f t="shared" ref="BA63:BB63" si="266">BA54+BA62</f>
        <v>251225000</v>
      </c>
      <c r="BB63" s="85">
        <f t="shared" si="266"/>
        <v>260245561</v>
      </c>
      <c r="BC63" s="85">
        <f t="shared" si="265"/>
        <v>0</v>
      </c>
      <c r="BD63" s="85">
        <f t="shared" ref="BD63:BE63" si="267">BD54+BD62</f>
        <v>0</v>
      </c>
      <c r="BE63" s="85">
        <f t="shared" si="267"/>
        <v>0</v>
      </c>
      <c r="BF63" s="85">
        <f t="shared" si="265"/>
        <v>0</v>
      </c>
      <c r="BG63" s="85">
        <f t="shared" si="265"/>
        <v>0</v>
      </c>
      <c r="BH63" s="85">
        <f t="shared" si="265"/>
        <v>0</v>
      </c>
      <c r="BI63" s="85">
        <f t="shared" si="142"/>
        <v>256747000</v>
      </c>
      <c r="BJ63" s="85">
        <f t="shared" si="143"/>
        <v>260245561</v>
      </c>
      <c r="BK63" s="85">
        <f t="shared" si="144"/>
        <v>251225000</v>
      </c>
      <c r="BL63" s="85">
        <f t="shared" si="145"/>
        <v>260245561</v>
      </c>
      <c r="BM63" s="801" t="s">
        <v>21</v>
      </c>
      <c r="BN63" s="731" t="s">
        <v>121</v>
      </c>
      <c r="BO63" s="85">
        <f t="shared" ref="BO63:BX63" si="268">BO54+BO62</f>
        <v>180033000</v>
      </c>
      <c r="BP63" s="85">
        <f t="shared" ref="BP63" si="269">BP54+BP62</f>
        <v>182095637</v>
      </c>
      <c r="BQ63" s="85">
        <f t="shared" si="268"/>
        <v>162587000</v>
      </c>
      <c r="BR63" s="85">
        <f t="shared" si="268"/>
        <v>181957057</v>
      </c>
      <c r="BS63" s="85">
        <f t="shared" si="268"/>
        <v>0</v>
      </c>
      <c r="BT63" s="85">
        <f t="shared" ref="BT63:BU63" si="270">BT54+BT62</f>
        <v>0</v>
      </c>
      <c r="BU63" s="85">
        <f t="shared" si="270"/>
        <v>0</v>
      </c>
      <c r="BV63" s="85">
        <f t="shared" si="268"/>
        <v>0</v>
      </c>
      <c r="BW63" s="85">
        <f t="shared" si="268"/>
        <v>0</v>
      </c>
      <c r="BX63" s="85">
        <f t="shared" si="268"/>
        <v>0</v>
      </c>
      <c r="BY63" s="85">
        <f t="shared" si="149"/>
        <v>180033000</v>
      </c>
      <c r="BZ63" s="85">
        <f t="shared" si="150"/>
        <v>182095637</v>
      </c>
      <c r="CA63" s="85">
        <f t="shared" si="151"/>
        <v>162587000</v>
      </c>
      <c r="CB63" s="85">
        <f t="shared" si="152"/>
        <v>181957057</v>
      </c>
      <c r="CC63" s="801" t="s">
        <v>21</v>
      </c>
      <c r="CD63" s="731" t="s">
        <v>121</v>
      </c>
      <c r="CE63" s="85">
        <f t="shared" ref="CE63:CN63" si="271">CE54+CE62</f>
        <v>49129000</v>
      </c>
      <c r="CF63" s="85">
        <f t="shared" ref="CF63:CG63" si="272">CF54+CF62</f>
        <v>50296236</v>
      </c>
      <c r="CG63" s="85">
        <f t="shared" si="272"/>
        <v>48795000</v>
      </c>
      <c r="CH63" s="85">
        <f t="shared" ref="CH63" si="273">CH54+CH62</f>
        <v>50293943</v>
      </c>
      <c r="CI63" s="85">
        <f t="shared" si="271"/>
        <v>0</v>
      </c>
      <c r="CJ63" s="85">
        <f t="shared" ref="CJ63:CK63" si="274">CJ54+CJ62</f>
        <v>0</v>
      </c>
      <c r="CK63" s="85">
        <f t="shared" si="274"/>
        <v>0</v>
      </c>
      <c r="CL63" s="85">
        <f t="shared" si="271"/>
        <v>0</v>
      </c>
      <c r="CM63" s="85">
        <f t="shared" si="271"/>
        <v>0</v>
      </c>
      <c r="CN63" s="85">
        <f t="shared" si="271"/>
        <v>0</v>
      </c>
      <c r="CO63" s="85">
        <f t="shared" si="156"/>
        <v>49129000</v>
      </c>
      <c r="CP63" s="85">
        <f t="shared" si="157"/>
        <v>50296236</v>
      </c>
      <c r="CQ63" s="85">
        <f t="shared" si="158"/>
        <v>48795000</v>
      </c>
      <c r="CR63" s="85">
        <f t="shared" si="159"/>
        <v>50293943</v>
      </c>
      <c r="CS63" s="801" t="s">
        <v>21</v>
      </c>
      <c r="CT63" s="731" t="s">
        <v>121</v>
      </c>
      <c r="CU63" s="85">
        <f t="shared" ref="CU63:DD63" si="275">CU54+CU62</f>
        <v>24753000</v>
      </c>
      <c r="CV63" s="85">
        <f t="shared" ref="CV63:CX63" si="276">CV54+CV62</f>
        <v>25644378</v>
      </c>
      <c r="CW63" s="85">
        <f t="shared" si="276"/>
        <v>24909000</v>
      </c>
      <c r="CX63" s="85">
        <f t="shared" si="276"/>
        <v>25198689</v>
      </c>
      <c r="CY63" s="85">
        <f t="shared" si="275"/>
        <v>0</v>
      </c>
      <c r="CZ63" s="85">
        <f t="shared" ref="CZ63:DA63" si="277">CZ54+CZ62</f>
        <v>0</v>
      </c>
      <c r="DA63" s="85">
        <f t="shared" si="277"/>
        <v>0</v>
      </c>
      <c r="DB63" s="85">
        <f t="shared" si="275"/>
        <v>0</v>
      </c>
      <c r="DC63" s="85">
        <f t="shared" si="275"/>
        <v>0</v>
      </c>
      <c r="DD63" s="85">
        <f t="shared" si="275"/>
        <v>0</v>
      </c>
      <c r="DE63" s="800">
        <f t="shared" si="163"/>
        <v>24753000</v>
      </c>
      <c r="DF63" s="800">
        <f t="shared" si="164"/>
        <v>25644378</v>
      </c>
      <c r="DG63" s="800">
        <f t="shared" si="165"/>
        <v>24909000</v>
      </c>
      <c r="DH63" s="800">
        <f t="shared" si="166"/>
        <v>25198689</v>
      </c>
      <c r="DI63" s="801" t="s">
        <v>21</v>
      </c>
      <c r="DJ63" s="731" t="s">
        <v>121</v>
      </c>
      <c r="DK63" s="85">
        <f t="shared" ref="DK63:DT63" si="278">DK54+DK62</f>
        <v>62270000</v>
      </c>
      <c r="DL63" s="85">
        <f t="shared" si="278"/>
        <v>42986919</v>
      </c>
      <c r="DM63" s="85">
        <f t="shared" ref="DM63:DN63" si="279">DM54+DM62</f>
        <v>64937000</v>
      </c>
      <c r="DN63" s="85">
        <f t="shared" si="279"/>
        <v>75212692</v>
      </c>
      <c r="DO63" s="85">
        <f t="shared" si="278"/>
        <v>0</v>
      </c>
      <c r="DP63" s="85">
        <f t="shared" ref="DP63:DQ63" si="280">DP54+DP62</f>
        <v>0</v>
      </c>
      <c r="DQ63" s="85">
        <f t="shared" si="280"/>
        <v>0</v>
      </c>
      <c r="DR63" s="85">
        <f t="shared" si="278"/>
        <v>0</v>
      </c>
      <c r="DS63" s="85">
        <f t="shared" si="278"/>
        <v>0</v>
      </c>
      <c r="DT63" s="85">
        <f t="shared" si="278"/>
        <v>0</v>
      </c>
      <c r="DU63" s="800">
        <f t="shared" si="170"/>
        <v>62270000</v>
      </c>
      <c r="DV63" s="800">
        <f t="shared" si="171"/>
        <v>42986919</v>
      </c>
      <c r="DW63" s="800">
        <f t="shared" si="172"/>
        <v>64937000</v>
      </c>
      <c r="DX63" s="800">
        <f t="shared" si="173"/>
        <v>75212692</v>
      </c>
      <c r="DY63" s="801" t="s">
        <v>21</v>
      </c>
      <c r="DZ63" s="731" t="s">
        <v>121</v>
      </c>
      <c r="EA63" s="321">
        <f t="shared" si="189"/>
        <v>1139450000</v>
      </c>
      <c r="EB63" s="321">
        <f t="shared" si="174"/>
        <v>1156158055</v>
      </c>
      <c r="EC63" s="321">
        <f t="shared" si="175"/>
        <v>1175156000</v>
      </c>
      <c r="ED63" s="321">
        <f t="shared" si="176"/>
        <v>1223909600</v>
      </c>
      <c r="EE63" s="321">
        <f t="shared" si="177"/>
        <v>0</v>
      </c>
      <c r="EF63" s="321">
        <f t="shared" si="178"/>
        <v>0</v>
      </c>
      <c r="EG63" s="321">
        <f t="shared" si="179"/>
        <v>0</v>
      </c>
      <c r="EH63" s="321">
        <f t="shared" si="180"/>
        <v>0</v>
      </c>
      <c r="EI63" s="321">
        <f t="shared" si="181"/>
        <v>0</v>
      </c>
      <c r="EJ63" s="321">
        <f t="shared" si="182"/>
        <v>0</v>
      </c>
      <c r="EK63" s="321">
        <f t="shared" si="183"/>
        <v>1139450000</v>
      </c>
      <c r="EL63" s="321">
        <f t="shared" si="184"/>
        <v>1156158055</v>
      </c>
      <c r="EM63" s="321">
        <f t="shared" si="185"/>
        <v>1568126000</v>
      </c>
      <c r="EN63" s="321">
        <f t="shared" si="186"/>
        <v>1223909600</v>
      </c>
    </row>
    <row r="64" spans="1:144" s="557" customFormat="1" x14ac:dyDescent="0.25">
      <c r="A64" s="636"/>
      <c r="B64" s="734"/>
      <c r="C64" s="555"/>
      <c r="D64" s="556"/>
      <c r="E64" s="555"/>
      <c r="F64" s="555"/>
      <c r="G64" s="555"/>
      <c r="H64" s="555"/>
      <c r="I64" s="555"/>
      <c r="J64" s="555"/>
      <c r="K64" s="555"/>
      <c r="L64" s="555"/>
      <c r="M64" s="556">
        <f>+M34-M63</f>
        <v>0</v>
      </c>
      <c r="N64" s="556">
        <f t="shared" ref="N64:P64" si="281">+N34-N63</f>
        <v>0</v>
      </c>
      <c r="O64" s="556">
        <f t="shared" si="281"/>
        <v>0</v>
      </c>
      <c r="P64" s="556">
        <f t="shared" si="281"/>
        <v>0</v>
      </c>
      <c r="Q64" s="636"/>
      <c r="R64" s="734"/>
      <c r="S64" s="555"/>
      <c r="T64" s="556"/>
      <c r="U64" s="555"/>
      <c r="V64" s="555"/>
      <c r="W64" s="555"/>
      <c r="X64" s="555"/>
      <c r="Y64" s="555"/>
      <c r="Z64" s="555"/>
      <c r="AA64" s="555"/>
      <c r="AC64" s="556">
        <f>+AC34-AC63</f>
        <v>0</v>
      </c>
      <c r="AD64" s="556">
        <f>+AD34-AD63</f>
        <v>0</v>
      </c>
      <c r="AE64" s="556">
        <f>+AE34-AE63</f>
        <v>0</v>
      </c>
      <c r="AF64" s="556">
        <f>+AF34-AF63</f>
        <v>0</v>
      </c>
      <c r="AG64" s="636"/>
      <c r="AH64" s="554"/>
      <c r="AI64" s="555"/>
      <c r="AJ64" s="555"/>
      <c r="AK64" s="555"/>
      <c r="AL64" s="555"/>
      <c r="AM64" s="555"/>
      <c r="AN64" s="555"/>
      <c r="AO64" s="555"/>
      <c r="AP64" s="555"/>
      <c r="AQ64" s="555"/>
      <c r="AR64" s="555"/>
      <c r="AS64" s="556">
        <f>+AS34-AS63</f>
        <v>0</v>
      </c>
      <c r="AT64" s="556">
        <f>+AT34-AT63</f>
        <v>0</v>
      </c>
      <c r="AU64" s="556">
        <f>+AU34-AU63</f>
        <v>0</v>
      </c>
      <c r="AV64" s="556">
        <f>+AV34-AV63</f>
        <v>0</v>
      </c>
      <c r="AW64" s="636"/>
      <c r="AX64" s="554"/>
      <c r="AY64" s="555"/>
      <c r="AZ64" s="555"/>
      <c r="BA64" s="555"/>
      <c r="BB64" s="555"/>
      <c r="BC64" s="555"/>
      <c r="BD64" s="555"/>
      <c r="BE64" s="555"/>
      <c r="BF64" s="555"/>
      <c r="BG64" s="555"/>
      <c r="BH64" s="555"/>
      <c r="BI64" s="556">
        <f>+BI34-BI63</f>
        <v>0</v>
      </c>
      <c r="BJ64" s="556">
        <f>+BJ34-BJ63</f>
        <v>0</v>
      </c>
      <c r="BK64" s="556">
        <f>+BK34-BK63</f>
        <v>0</v>
      </c>
      <c r="BL64" s="556">
        <f>+BL34-BL63</f>
        <v>0</v>
      </c>
      <c r="BM64" s="636"/>
      <c r="BN64" s="554"/>
      <c r="BO64" s="555"/>
      <c r="BP64" s="555"/>
      <c r="BQ64" s="555"/>
      <c r="BR64" s="555"/>
      <c r="BS64" s="555"/>
      <c r="BT64" s="555"/>
      <c r="BU64" s="555"/>
      <c r="BV64" s="555"/>
      <c r="BW64" s="555"/>
      <c r="BX64" s="555"/>
      <c r="BY64" s="556">
        <f>+BY34-BY63</f>
        <v>0</v>
      </c>
      <c r="BZ64" s="556">
        <f>+BZ34-BZ63</f>
        <v>0</v>
      </c>
      <c r="CA64" s="556">
        <f>+CA34-CA63</f>
        <v>0</v>
      </c>
      <c r="CB64" s="556">
        <f>+CB34-CB63</f>
        <v>0</v>
      </c>
      <c r="CC64" s="636"/>
      <c r="CD64" s="554"/>
      <c r="CE64" s="555"/>
      <c r="CF64" s="555"/>
      <c r="CG64" s="555"/>
      <c r="CH64" s="555"/>
      <c r="CI64" s="555"/>
      <c r="CJ64" s="555"/>
      <c r="CK64" s="555"/>
      <c r="CL64" s="555"/>
      <c r="CM64" s="555"/>
      <c r="CN64" s="555"/>
      <c r="CO64" s="556">
        <f>+CO34-CO63</f>
        <v>0</v>
      </c>
      <c r="CP64" s="556">
        <f>+CP34-CP63</f>
        <v>0</v>
      </c>
      <c r="CQ64" s="556">
        <f>+CQ34-CQ63</f>
        <v>0</v>
      </c>
      <c r="CR64" s="556">
        <f>+CR34-CR63</f>
        <v>0</v>
      </c>
      <c r="CS64" s="636"/>
      <c r="CT64" s="554"/>
      <c r="CU64" s="555"/>
      <c r="CV64" s="555"/>
      <c r="CW64" s="555"/>
      <c r="CX64" s="555"/>
      <c r="CY64" s="555"/>
      <c r="CZ64" s="555"/>
      <c r="DA64" s="555"/>
      <c r="DB64" s="555"/>
      <c r="DC64" s="555"/>
      <c r="DD64" s="555"/>
      <c r="DE64" s="556">
        <f>+DE34-DE63</f>
        <v>0</v>
      </c>
      <c r="DF64" s="556">
        <f>+DF34-DF63</f>
        <v>0</v>
      </c>
      <c r="DG64" s="556">
        <f>+DG34-DG63</f>
        <v>0</v>
      </c>
      <c r="DH64" s="556">
        <f>+DH34-DH63</f>
        <v>0</v>
      </c>
      <c r="DI64" s="636"/>
      <c r="DJ64" s="554"/>
      <c r="DK64" s="555"/>
      <c r="DL64" s="555"/>
      <c r="DM64" s="555"/>
      <c r="DN64" s="555"/>
      <c r="DO64" s="555"/>
      <c r="DP64" s="555"/>
      <c r="DQ64" s="555"/>
      <c r="DR64" s="555"/>
      <c r="DS64" s="555"/>
      <c r="DT64" s="555"/>
      <c r="DU64" s="556">
        <f>+DU34-DU63</f>
        <v>0</v>
      </c>
      <c r="DV64" s="556">
        <f>+DV34-DV63</f>
        <v>0</v>
      </c>
      <c r="DW64" s="556">
        <f>+DW34-DW63</f>
        <v>0</v>
      </c>
      <c r="DX64" s="556">
        <f>+DX34-DX63</f>
        <v>0</v>
      </c>
      <c r="DY64" s="636"/>
      <c r="DZ64" s="554"/>
    </row>
    <row r="65" spans="1:144" s="53" customFormat="1" x14ac:dyDescent="0.25">
      <c r="A65" s="636"/>
      <c r="B65" s="297"/>
      <c r="C65" s="29"/>
      <c r="D65" s="144"/>
      <c r="E65" s="29"/>
      <c r="F65" s="29"/>
      <c r="G65" s="29"/>
      <c r="H65" s="29"/>
      <c r="I65" s="29"/>
      <c r="J65" s="29"/>
      <c r="K65" s="29"/>
      <c r="L65" s="29"/>
      <c r="M65" s="102"/>
      <c r="N65" s="102"/>
      <c r="O65" s="102"/>
      <c r="P65" s="102"/>
      <c r="Q65" s="636"/>
      <c r="R65" s="297"/>
      <c r="S65" s="29"/>
      <c r="T65" s="144"/>
      <c r="U65" s="29"/>
      <c r="V65" s="29">
        <f>+V63-V34</f>
        <v>0</v>
      </c>
      <c r="W65" s="29"/>
      <c r="X65" s="29"/>
      <c r="Y65" s="29"/>
      <c r="Z65" s="29"/>
      <c r="AA65" s="29"/>
      <c r="AB65" s="102"/>
      <c r="AC65" s="102"/>
      <c r="AD65" s="28"/>
      <c r="AE65" s="28"/>
      <c r="AF65" s="28"/>
      <c r="AG65" s="636"/>
      <c r="AH65" s="27"/>
      <c r="AI65" s="29"/>
      <c r="AJ65" s="29"/>
      <c r="AK65" s="29">
        <f>+AK63-AK34</f>
        <v>0</v>
      </c>
      <c r="AL65" s="29">
        <f>+AL63-AL34</f>
        <v>0</v>
      </c>
      <c r="AM65" s="29"/>
      <c r="AN65" s="29"/>
      <c r="AO65" s="29"/>
      <c r="AP65" s="29"/>
      <c r="AQ65" s="29"/>
      <c r="AR65" s="29"/>
      <c r="AS65" s="102"/>
      <c r="AT65" s="102"/>
      <c r="AU65" s="102"/>
      <c r="AV65" s="102"/>
      <c r="AW65" s="636"/>
      <c r="AX65" s="27"/>
      <c r="AY65" s="29"/>
      <c r="AZ65" s="29"/>
      <c r="BA65" s="29">
        <f>+BA63-BA34</f>
        <v>0</v>
      </c>
      <c r="BB65" s="29">
        <f>+BB63-BB34</f>
        <v>0</v>
      </c>
      <c r="BC65" s="29"/>
      <c r="BD65" s="29"/>
      <c r="BE65" s="29"/>
      <c r="BF65" s="29"/>
      <c r="BG65" s="29"/>
      <c r="BH65" s="29"/>
      <c r="BI65" s="102"/>
      <c r="BJ65" s="102"/>
      <c r="BK65" s="102"/>
      <c r="BL65" s="102"/>
      <c r="BM65" s="636"/>
      <c r="BN65" s="27"/>
      <c r="BO65" s="29"/>
      <c r="BP65" s="29"/>
      <c r="BQ65" s="29">
        <f>+BQ63-BQ34</f>
        <v>0</v>
      </c>
      <c r="BR65" s="29">
        <f>+BR63-BR34</f>
        <v>0</v>
      </c>
      <c r="BS65" s="29"/>
      <c r="BT65" s="29"/>
      <c r="BU65" s="29"/>
      <c r="BV65" s="29"/>
      <c r="BW65" s="29"/>
      <c r="BX65" s="29"/>
      <c r="BY65" s="102"/>
      <c r="BZ65" s="102"/>
      <c r="CA65" s="102"/>
      <c r="CB65" s="102"/>
      <c r="CC65" s="636"/>
      <c r="CD65" s="27"/>
      <c r="CE65" s="29"/>
      <c r="CF65" s="29"/>
      <c r="CG65" s="29">
        <f>+CG63-CG34</f>
        <v>0</v>
      </c>
      <c r="CH65" s="29">
        <f>+CH63-CH34</f>
        <v>0</v>
      </c>
      <c r="CI65" s="29"/>
      <c r="CJ65" s="29"/>
      <c r="CK65" s="29"/>
      <c r="CL65" s="29"/>
      <c r="CM65" s="29"/>
      <c r="CN65" s="29"/>
      <c r="CO65" s="102"/>
      <c r="CP65" s="102"/>
      <c r="CQ65" s="102"/>
      <c r="CR65" s="102"/>
      <c r="CS65" s="636"/>
      <c r="CT65" s="27"/>
      <c r="CU65" s="29"/>
      <c r="CV65" s="29">
        <f>+CV63-CV34</f>
        <v>0</v>
      </c>
      <c r="CW65" s="29">
        <f>+CW63-CW34</f>
        <v>0</v>
      </c>
      <c r="CX65" s="29">
        <f>+CX63-CX34</f>
        <v>0</v>
      </c>
      <c r="CY65" s="29"/>
      <c r="CZ65" s="29"/>
      <c r="DA65" s="29"/>
      <c r="DB65" s="29"/>
      <c r="DC65" s="29"/>
      <c r="DD65" s="29"/>
      <c r="DE65" s="102"/>
      <c r="DF65" s="102"/>
      <c r="DG65" s="102"/>
      <c r="DH65" s="102"/>
      <c r="DI65" s="636"/>
      <c r="DJ65" s="27"/>
      <c r="DK65" s="29"/>
      <c r="DL65" s="29"/>
      <c r="DM65" s="29">
        <f>+DM63-DM34</f>
        <v>0</v>
      </c>
      <c r="DN65" s="29">
        <f>+DN63-DN34</f>
        <v>0</v>
      </c>
      <c r="DO65" s="29"/>
      <c r="DP65" s="29"/>
      <c r="DQ65" s="29"/>
      <c r="DR65" s="29"/>
      <c r="DS65" s="29"/>
      <c r="DT65" s="29"/>
      <c r="DU65" s="102"/>
      <c r="DV65" s="105"/>
      <c r="DW65" s="105"/>
      <c r="DX65" s="105"/>
      <c r="DY65" s="636"/>
      <c r="DZ65" s="27"/>
      <c r="EM65" s="54">
        <f>+EM63-EM34</f>
        <v>0</v>
      </c>
      <c r="EN65" s="54">
        <f>+EN63-EN34</f>
        <v>0</v>
      </c>
    </row>
    <row r="66" spans="1:144" s="53" customFormat="1" x14ac:dyDescent="0.25">
      <c r="A66" s="638"/>
      <c r="B66" s="735"/>
      <c r="C66" s="35"/>
      <c r="D66" s="363"/>
      <c r="E66" s="35"/>
      <c r="F66" s="35"/>
      <c r="G66" s="35"/>
      <c r="H66" s="35"/>
      <c r="I66" s="35"/>
      <c r="J66" s="35"/>
      <c r="K66" s="35"/>
      <c r="L66" s="35"/>
      <c r="M66" s="105"/>
      <c r="N66" s="105"/>
      <c r="O66" s="105"/>
      <c r="P66" s="105"/>
      <c r="Q66" s="638"/>
      <c r="R66" s="735"/>
      <c r="S66" s="35"/>
      <c r="T66" s="363"/>
      <c r="U66" s="35">
        <f>+U63-U34</f>
        <v>0</v>
      </c>
      <c r="V66" s="35"/>
      <c r="W66" s="35"/>
      <c r="X66" s="35"/>
      <c r="Y66" s="35"/>
      <c r="Z66" s="35"/>
      <c r="AA66" s="35"/>
      <c r="AB66" s="105"/>
      <c r="AC66" s="105"/>
      <c r="AD66" s="104"/>
      <c r="AE66" s="104"/>
      <c r="AF66" s="104"/>
      <c r="AG66" s="638"/>
      <c r="AH66" s="2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105"/>
      <c r="AT66" s="105"/>
      <c r="AU66" s="105"/>
      <c r="AV66" s="105"/>
      <c r="AW66" s="638"/>
      <c r="AX66" s="2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105"/>
      <c r="BJ66" s="105"/>
      <c r="BK66" s="105"/>
      <c r="BL66" s="105"/>
      <c r="BM66" s="638"/>
      <c r="BN66" s="2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105"/>
      <c r="BZ66" s="105"/>
      <c r="CA66" s="105"/>
      <c r="CB66" s="105"/>
      <c r="CC66" s="638"/>
      <c r="CD66" s="2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105"/>
      <c r="CP66" s="105"/>
      <c r="CQ66" s="105"/>
      <c r="CR66" s="105"/>
      <c r="CS66" s="638"/>
      <c r="CT66" s="2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105"/>
      <c r="DF66" s="105"/>
      <c r="DG66" s="105"/>
      <c r="DH66" s="105"/>
      <c r="DI66" s="638"/>
      <c r="DJ66" s="2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105"/>
      <c r="DV66" s="105"/>
      <c r="DW66" s="105"/>
      <c r="DX66" s="105"/>
      <c r="DY66" s="638"/>
      <c r="DZ66" s="25"/>
    </row>
    <row r="67" spans="1:144" s="53" customFormat="1" x14ac:dyDescent="0.25">
      <c r="A67" s="649"/>
      <c r="B67" s="736"/>
      <c r="C67" s="107"/>
      <c r="D67" s="537"/>
      <c r="E67" s="107">
        <f>+E63-E34</f>
        <v>0</v>
      </c>
      <c r="F67" s="107">
        <f>+F63-F34</f>
        <v>0</v>
      </c>
      <c r="G67" s="107"/>
      <c r="H67" s="107"/>
      <c r="I67" s="107"/>
      <c r="J67" s="54"/>
      <c r="K67" s="54"/>
      <c r="L67" s="54"/>
      <c r="M67" s="107"/>
      <c r="N67" s="107"/>
      <c r="O67" s="107"/>
      <c r="P67" s="107"/>
      <c r="Q67" s="649"/>
      <c r="R67" s="736"/>
      <c r="T67" s="181"/>
      <c r="W67" s="107"/>
      <c r="AG67" s="649"/>
      <c r="AH67" s="106"/>
      <c r="AW67" s="649"/>
      <c r="AX67" s="106"/>
      <c r="BM67" s="649"/>
      <c r="BN67" s="106"/>
      <c r="CC67" s="649"/>
      <c r="CD67" s="106"/>
      <c r="CS67" s="649"/>
      <c r="CT67" s="106"/>
      <c r="DI67" s="649"/>
      <c r="DJ67" s="106"/>
      <c r="DY67" s="649"/>
      <c r="DZ67" s="106"/>
    </row>
    <row r="68" spans="1:144" x14ac:dyDescent="0.25">
      <c r="A68" s="649"/>
      <c r="B68" s="737"/>
      <c r="C68" s="109"/>
      <c r="D68" s="538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649"/>
      <c r="R68" s="737"/>
      <c r="S68" s="53"/>
      <c r="U68" s="53"/>
      <c r="V68" s="53"/>
      <c r="W68" s="109"/>
      <c r="X68" s="53"/>
      <c r="Y68" s="53"/>
      <c r="Z68" s="53"/>
      <c r="AA68" s="53"/>
      <c r="AB68" s="53"/>
      <c r="AC68" s="53"/>
      <c r="AD68" s="53"/>
      <c r="AE68" s="53"/>
      <c r="AF68" s="53"/>
      <c r="AG68" s="649"/>
      <c r="AH68" s="108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649"/>
      <c r="AX68" s="108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649"/>
      <c r="BN68" s="108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649"/>
      <c r="CD68" s="108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649"/>
      <c r="CT68" s="108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649"/>
      <c r="DJ68" s="108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649"/>
      <c r="DZ68" s="108"/>
    </row>
    <row r="69" spans="1:144" x14ac:dyDescent="0.25">
      <c r="A69" s="649"/>
      <c r="B69" s="738"/>
      <c r="C69" s="54"/>
      <c r="D69" s="14"/>
      <c r="E69" s="54"/>
      <c r="F69" s="54"/>
      <c r="Q69" s="649"/>
      <c r="R69" s="738"/>
      <c r="AG69" s="649"/>
      <c r="AH69" s="545"/>
      <c r="AW69" s="649"/>
      <c r="AX69" s="545"/>
      <c r="BM69" s="649"/>
      <c r="BN69" s="545"/>
      <c r="CC69" s="649"/>
      <c r="CD69" s="545"/>
      <c r="CS69" s="649"/>
      <c r="CT69" s="545"/>
      <c r="DI69" s="649"/>
      <c r="DJ69" s="545"/>
      <c r="DY69" s="649"/>
      <c r="DZ69" s="545"/>
    </row>
    <row r="70" spans="1:144" x14ac:dyDescent="0.25">
      <c r="A70" s="657"/>
      <c r="B70" s="739"/>
      <c r="C70" s="21"/>
      <c r="D70" s="539"/>
      <c r="E70" s="21"/>
      <c r="F70" s="21"/>
      <c r="Q70" s="657"/>
      <c r="R70" s="739"/>
      <c r="AG70" s="657"/>
      <c r="AH70" s="20"/>
      <c r="AW70" s="657"/>
      <c r="AX70" s="20"/>
      <c r="BM70" s="657"/>
      <c r="BN70" s="20"/>
      <c r="CC70" s="657"/>
      <c r="CD70" s="20"/>
      <c r="CS70" s="657"/>
      <c r="CT70" s="20"/>
      <c r="DI70" s="657"/>
      <c r="DJ70" s="20"/>
      <c r="DY70" s="657"/>
      <c r="DZ70" s="20"/>
    </row>
    <row r="71" spans="1:144" x14ac:dyDescent="0.25">
      <c r="A71" s="657"/>
      <c r="B71" s="740"/>
      <c r="C71" s="46"/>
      <c r="D71" s="540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657"/>
      <c r="R71" s="740"/>
      <c r="W71" s="46"/>
      <c r="AG71" s="657"/>
      <c r="AH71" s="45"/>
      <c r="AW71" s="657"/>
      <c r="AX71" s="45"/>
      <c r="BM71" s="657"/>
      <c r="BN71" s="45"/>
      <c r="CC71" s="657"/>
      <c r="CD71" s="45"/>
      <c r="CS71" s="657"/>
      <c r="CT71" s="45"/>
      <c r="DI71" s="657"/>
      <c r="DJ71" s="45"/>
      <c r="DY71" s="657"/>
      <c r="DZ71" s="45"/>
    </row>
    <row r="72" spans="1:144" x14ac:dyDescent="0.25">
      <c r="A72" s="657"/>
      <c r="B72" s="740"/>
      <c r="C72" s="46"/>
      <c r="D72" s="540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657"/>
      <c r="R72" s="740"/>
      <c r="W72" s="46"/>
      <c r="AG72" s="657"/>
      <c r="AH72" s="45"/>
      <c r="AW72" s="657"/>
      <c r="AX72" s="45"/>
      <c r="BM72" s="657"/>
      <c r="BN72" s="45"/>
      <c r="CC72" s="657"/>
      <c r="CD72" s="45"/>
      <c r="CS72" s="657"/>
      <c r="CT72" s="45"/>
      <c r="DI72" s="657"/>
      <c r="DJ72" s="45"/>
      <c r="DY72" s="657"/>
      <c r="DZ72" s="45"/>
    </row>
    <row r="73" spans="1:144" x14ac:dyDescent="0.25">
      <c r="A73" s="657"/>
      <c r="B73" s="741"/>
      <c r="C73" s="46"/>
      <c r="D73" s="540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657"/>
      <c r="R73" s="741"/>
      <c r="W73" s="46"/>
      <c r="AG73" s="657"/>
      <c r="AH73" s="47"/>
      <c r="AW73" s="657"/>
      <c r="AX73" s="47"/>
      <c r="BM73" s="657"/>
      <c r="BN73" s="47"/>
      <c r="CC73" s="657"/>
      <c r="CD73" s="47"/>
      <c r="CS73" s="657"/>
      <c r="CT73" s="47"/>
      <c r="DI73" s="657"/>
      <c r="DJ73" s="47"/>
      <c r="DY73" s="657"/>
      <c r="DZ73" s="47"/>
    </row>
    <row r="74" spans="1:144" x14ac:dyDescent="0.25">
      <c r="A74" s="649"/>
      <c r="B74" s="733"/>
      <c r="C74" s="49"/>
      <c r="D74" s="536"/>
      <c r="E74" s="49"/>
      <c r="F74" s="49"/>
      <c r="G74" s="8"/>
      <c r="H74" s="53"/>
      <c r="I74" s="53"/>
      <c r="J74" s="8"/>
      <c r="K74" s="53"/>
      <c r="L74" s="53"/>
      <c r="M74" s="39"/>
      <c r="N74" s="463"/>
      <c r="O74" s="347"/>
      <c r="P74" s="463"/>
      <c r="Q74" s="649"/>
      <c r="R74" s="733"/>
      <c r="W74" s="53"/>
      <c r="AG74" s="649"/>
      <c r="AH74" s="48"/>
      <c r="AW74" s="649"/>
      <c r="AX74" s="48"/>
      <c r="BM74" s="649"/>
      <c r="BN74" s="48"/>
      <c r="CC74" s="649"/>
      <c r="CD74" s="48"/>
      <c r="CS74" s="649"/>
      <c r="CT74" s="48"/>
      <c r="DI74" s="649"/>
      <c r="DJ74" s="48"/>
      <c r="DY74" s="649"/>
      <c r="DZ74" s="48"/>
    </row>
    <row r="75" spans="1:144" x14ac:dyDescent="0.25">
      <c r="B75" s="740"/>
      <c r="C75" s="50"/>
      <c r="D75" s="54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R75" s="740"/>
      <c r="W75" s="50"/>
      <c r="AH75" s="45"/>
      <c r="AX75" s="45"/>
      <c r="BN75" s="45"/>
      <c r="CD75" s="45"/>
      <c r="CT75" s="45"/>
      <c r="DJ75" s="45"/>
      <c r="DZ75" s="45"/>
    </row>
    <row r="76" spans="1:144" x14ac:dyDescent="0.25">
      <c r="B76" s="740"/>
      <c r="C76" s="50"/>
      <c r="D76" s="54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R76" s="740"/>
      <c r="W76" s="50"/>
      <c r="AH76" s="45"/>
      <c r="AX76" s="45"/>
      <c r="BN76" s="45"/>
      <c r="CD76" s="45"/>
      <c r="CT76" s="45"/>
      <c r="DJ76" s="45"/>
      <c r="DZ76" s="45"/>
    </row>
    <row r="77" spans="1:144" x14ac:dyDescent="0.25">
      <c r="B77" s="740"/>
      <c r="C77" s="50"/>
      <c r="D77" s="54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R77" s="740"/>
      <c r="W77" s="50"/>
      <c r="AH77" s="45"/>
      <c r="AX77" s="45"/>
      <c r="BN77" s="45"/>
      <c r="CD77" s="45"/>
      <c r="CT77" s="45"/>
      <c r="DJ77" s="45"/>
      <c r="DZ77" s="45"/>
    </row>
    <row r="78" spans="1:144" x14ac:dyDescent="0.25">
      <c r="B78" s="740"/>
      <c r="C78" s="50"/>
      <c r="D78" s="54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R78" s="740"/>
      <c r="W78" s="50"/>
      <c r="AH78" s="45"/>
      <c r="AX78" s="45"/>
      <c r="BN78" s="45"/>
      <c r="CD78" s="45"/>
      <c r="CT78" s="45"/>
      <c r="DJ78" s="45"/>
      <c r="DZ78" s="45"/>
    </row>
    <row r="79" spans="1:144" x14ac:dyDescent="0.25">
      <c r="B79" s="740"/>
      <c r="C79" s="50"/>
      <c r="D79" s="54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R79" s="740"/>
      <c r="W79" s="50"/>
      <c r="AH79" s="45"/>
      <c r="AX79" s="45"/>
      <c r="BN79" s="45"/>
      <c r="CD79" s="45"/>
      <c r="CT79" s="45"/>
      <c r="DJ79" s="45"/>
      <c r="DZ79" s="45"/>
    </row>
    <row r="80" spans="1:144" x14ac:dyDescent="0.25">
      <c r="B80" s="732"/>
      <c r="C80" s="50"/>
      <c r="D80" s="54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R80" s="732"/>
      <c r="W80" s="50"/>
      <c r="AH80" s="43"/>
      <c r="AX80" s="43"/>
      <c r="BN80" s="43"/>
      <c r="CD80" s="43"/>
      <c r="CT80" s="43"/>
      <c r="DJ80" s="43"/>
      <c r="DZ80" s="43"/>
    </row>
    <row r="81" spans="2:130" x14ac:dyDescent="0.25">
      <c r="B81" s="740"/>
      <c r="C81" s="50"/>
      <c r="D81" s="54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R81" s="740"/>
      <c r="W81" s="50"/>
      <c r="AH81" s="45"/>
      <c r="AX81" s="45"/>
      <c r="BN81" s="45"/>
      <c r="CD81" s="45"/>
      <c r="CT81" s="45"/>
      <c r="DJ81" s="45"/>
      <c r="DZ81" s="45"/>
    </row>
    <row r="82" spans="2:130" x14ac:dyDescent="0.25">
      <c r="B82" s="740"/>
      <c r="C82" s="50"/>
      <c r="D82" s="54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R82" s="740"/>
      <c r="W82" s="50"/>
      <c r="AH82" s="45"/>
      <c r="AX82" s="45"/>
      <c r="BN82" s="45"/>
      <c r="CD82" s="45"/>
      <c r="CT82" s="45"/>
      <c r="DJ82" s="45"/>
      <c r="DZ82" s="45"/>
    </row>
    <row r="83" spans="2:130" x14ac:dyDescent="0.25">
      <c r="B83" s="740"/>
      <c r="C83" s="50"/>
      <c r="D83" s="54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R83" s="740"/>
      <c r="W83" s="50"/>
      <c r="AH83" s="45"/>
      <c r="AX83" s="45"/>
      <c r="BN83" s="45"/>
      <c r="CD83" s="45"/>
      <c r="CT83" s="45"/>
      <c r="DJ83" s="45"/>
      <c r="DZ83" s="45"/>
    </row>
    <row r="84" spans="2:130" x14ac:dyDescent="0.25">
      <c r="B84" s="732"/>
      <c r="C84" s="50"/>
      <c r="D84" s="54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R84" s="732"/>
      <c r="W84" s="50"/>
      <c r="AH84" s="43"/>
      <c r="AX84" s="43"/>
      <c r="BN84" s="43"/>
      <c r="CD84" s="43"/>
      <c r="CT84" s="43"/>
      <c r="DJ84" s="43"/>
      <c r="DZ84" s="43"/>
    </row>
    <row r="85" spans="2:130" x14ac:dyDescent="0.25">
      <c r="B85" s="735"/>
      <c r="C85" s="50"/>
      <c r="D85" s="54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R85" s="735"/>
      <c r="W85" s="50"/>
      <c r="AH85" s="25"/>
      <c r="AX85" s="25"/>
      <c r="BN85" s="25"/>
      <c r="CD85" s="25"/>
      <c r="CT85" s="25"/>
      <c r="DJ85" s="25"/>
      <c r="DZ85" s="25"/>
    </row>
    <row r="86" spans="2:130" x14ac:dyDescent="0.25">
      <c r="B86" s="735"/>
      <c r="C86" s="22"/>
      <c r="D86" s="14"/>
      <c r="E86" s="54"/>
      <c r="F86" s="54"/>
      <c r="G86" s="22"/>
      <c r="H86" s="54"/>
      <c r="I86" s="54"/>
      <c r="J86" s="22"/>
      <c r="K86" s="54"/>
      <c r="L86" s="54"/>
      <c r="M86" s="22"/>
      <c r="N86" s="54"/>
      <c r="O86" s="54"/>
      <c r="P86" s="54"/>
      <c r="R86" s="735"/>
      <c r="W86" s="54"/>
      <c r="AH86" s="25"/>
      <c r="AX86" s="25"/>
      <c r="BN86" s="25"/>
      <c r="CD86" s="25"/>
      <c r="CT86" s="25"/>
      <c r="DJ86" s="25"/>
      <c r="DZ86" s="25"/>
    </row>
    <row r="87" spans="2:130" x14ac:dyDescent="0.25">
      <c r="B87" s="735"/>
      <c r="C87" s="22"/>
      <c r="D87" s="14"/>
      <c r="E87" s="54"/>
      <c r="F87" s="54"/>
      <c r="G87" s="22"/>
      <c r="H87" s="54"/>
      <c r="I87" s="54"/>
      <c r="J87" s="22"/>
      <c r="K87" s="54"/>
      <c r="L87" s="54"/>
      <c r="M87" s="22"/>
      <c r="N87" s="54"/>
      <c r="O87" s="54"/>
      <c r="P87" s="54"/>
      <c r="R87" s="735"/>
      <c r="W87" s="54"/>
      <c r="AH87" s="25"/>
      <c r="AX87" s="25"/>
      <c r="BN87" s="25"/>
      <c r="CD87" s="25"/>
      <c r="CT87" s="25"/>
      <c r="DJ87" s="25"/>
      <c r="DZ87" s="25"/>
    </row>
    <row r="88" spans="2:130" x14ac:dyDescent="0.25">
      <c r="B88" s="742"/>
      <c r="C88" s="8"/>
      <c r="E88" s="53"/>
      <c r="F88" s="53"/>
      <c r="G88" s="8"/>
      <c r="H88" s="53"/>
      <c r="I88" s="53"/>
      <c r="J88" s="8"/>
      <c r="K88" s="53"/>
      <c r="L88" s="53"/>
      <c r="M88" s="8"/>
      <c r="N88" s="53"/>
      <c r="O88" s="53"/>
      <c r="P88" s="53"/>
      <c r="R88" s="742"/>
      <c r="W88" s="53"/>
      <c r="AH88" s="53"/>
      <c r="AX88" s="53"/>
      <c r="BN88" s="53"/>
      <c r="CD88" s="53"/>
      <c r="CT88" s="53"/>
      <c r="DJ88" s="53"/>
      <c r="DZ88" s="53"/>
    </row>
    <row r="89" spans="2:130" x14ac:dyDescent="0.25">
      <c r="B89" s="884"/>
      <c r="C89" s="884"/>
      <c r="D89" s="479"/>
      <c r="E89" s="344"/>
      <c r="F89" s="525"/>
      <c r="G89" s="38"/>
      <c r="H89" s="38"/>
      <c r="I89" s="38"/>
      <c r="J89" s="885"/>
      <c r="K89" s="885"/>
      <c r="L89" s="885"/>
      <c r="M89" s="886"/>
      <c r="N89" s="546"/>
      <c r="O89" s="345"/>
      <c r="P89" s="789"/>
      <c r="W89" s="38"/>
      <c r="AH89"/>
      <c r="AX89"/>
      <c r="BN89"/>
      <c r="CD89"/>
      <c r="CT89"/>
      <c r="DZ89"/>
    </row>
    <row r="90" spans="2:130" x14ac:dyDescent="0.25">
      <c r="B90" s="884"/>
      <c r="C90" s="884"/>
      <c r="D90" s="479"/>
      <c r="E90" s="344"/>
      <c r="F90" s="525"/>
      <c r="G90" s="38"/>
      <c r="H90" s="38"/>
      <c r="I90" s="38"/>
      <c r="J90" s="38"/>
      <c r="K90" s="38"/>
      <c r="L90" s="38"/>
      <c r="M90" s="38"/>
      <c r="N90" s="38"/>
      <c r="O90" s="38"/>
      <c r="P90" s="38"/>
      <c r="W90" s="38"/>
      <c r="AH90"/>
      <c r="AX90"/>
      <c r="BN90"/>
      <c r="CD90"/>
      <c r="CT90"/>
      <c r="DZ90"/>
    </row>
    <row r="91" spans="2:130" x14ac:dyDescent="0.25">
      <c r="B91" s="743"/>
      <c r="C91" s="39"/>
      <c r="D91" s="526"/>
      <c r="E91" s="347"/>
      <c r="F91" s="463"/>
      <c r="G91" s="38"/>
      <c r="H91" s="38"/>
      <c r="I91" s="38"/>
      <c r="J91" s="38"/>
      <c r="K91" s="38"/>
      <c r="L91" s="38"/>
      <c r="M91" s="39"/>
      <c r="N91" s="463"/>
      <c r="O91" s="347"/>
      <c r="P91" s="463"/>
      <c r="R91" s="743"/>
      <c r="W91" s="38"/>
      <c r="AH91" s="132"/>
      <c r="AX91" s="132"/>
      <c r="BN91" s="132"/>
      <c r="CD91" s="132"/>
      <c r="CT91" s="132"/>
      <c r="DJ91" s="132"/>
      <c r="DZ91" s="132"/>
    </row>
    <row r="92" spans="2:130" x14ac:dyDescent="0.25">
      <c r="B92" s="723"/>
      <c r="C92" s="42"/>
      <c r="D92" s="541"/>
      <c r="E92" s="42"/>
      <c r="F92" s="42"/>
      <c r="G92" s="38"/>
      <c r="H92" s="38"/>
      <c r="I92" s="38"/>
      <c r="J92" s="38"/>
      <c r="K92" s="38"/>
      <c r="L92" s="38"/>
      <c r="M92" s="24"/>
      <c r="N92" s="552"/>
      <c r="O92" s="346"/>
      <c r="P92" s="792"/>
      <c r="R92" s="723"/>
      <c r="W92" s="38"/>
      <c r="AH92" s="41"/>
      <c r="AX92" s="41"/>
      <c r="BN92" s="41"/>
      <c r="CD92" s="41"/>
      <c r="CT92" s="41"/>
      <c r="DJ92" s="41"/>
      <c r="DZ92" s="41"/>
    </row>
    <row r="93" spans="2:130" x14ac:dyDescent="0.25">
      <c r="B93" s="732"/>
      <c r="C93" s="44"/>
      <c r="D93" s="363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R93" s="732"/>
      <c r="W93" s="44"/>
      <c r="AH93" s="43"/>
      <c r="AX93" s="43"/>
      <c r="BN93" s="43"/>
      <c r="CD93" s="43"/>
      <c r="CT93" s="43"/>
      <c r="DJ93" s="43"/>
      <c r="DZ93" s="43"/>
    </row>
    <row r="94" spans="2:130" x14ac:dyDescent="0.25">
      <c r="B94" s="740"/>
      <c r="C94" s="46"/>
      <c r="D94" s="540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R94" s="740"/>
      <c r="W94" s="46"/>
      <c r="AH94" s="45"/>
      <c r="AX94" s="45"/>
      <c r="BN94" s="45"/>
      <c r="CD94" s="45"/>
      <c r="CT94" s="45"/>
      <c r="DJ94" s="45"/>
      <c r="DZ94" s="45"/>
    </row>
    <row r="95" spans="2:130" x14ac:dyDescent="0.25">
      <c r="B95" s="740"/>
      <c r="C95" s="46"/>
      <c r="D95" s="540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R95" s="740"/>
      <c r="W95" s="46"/>
      <c r="AH95" s="45"/>
      <c r="AX95" s="45"/>
      <c r="BN95" s="45"/>
      <c r="CD95" s="45"/>
      <c r="CT95" s="45"/>
      <c r="DJ95" s="45"/>
      <c r="DZ95" s="45"/>
    </row>
    <row r="96" spans="2:130" x14ac:dyDescent="0.25">
      <c r="B96" s="740"/>
      <c r="C96" s="46"/>
      <c r="D96" s="540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R96" s="740"/>
      <c r="W96" s="46"/>
      <c r="AH96" s="45"/>
      <c r="AX96" s="45"/>
      <c r="BN96" s="45"/>
      <c r="CD96" s="45"/>
      <c r="CT96" s="45"/>
      <c r="DJ96" s="45"/>
      <c r="DZ96" s="45"/>
    </row>
    <row r="97" spans="2:130" x14ac:dyDescent="0.25">
      <c r="B97" s="740"/>
      <c r="C97" s="46"/>
      <c r="D97" s="540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R97" s="740"/>
      <c r="W97" s="46"/>
      <c r="AH97" s="45"/>
      <c r="AX97" s="45"/>
      <c r="BN97" s="45"/>
      <c r="CD97" s="45"/>
      <c r="CT97" s="45"/>
      <c r="DJ97" s="45"/>
      <c r="DZ97" s="45"/>
    </row>
    <row r="98" spans="2:130" x14ac:dyDescent="0.25">
      <c r="B98" s="740"/>
      <c r="C98" s="46"/>
      <c r="D98" s="540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R98" s="740"/>
      <c r="W98" s="46"/>
      <c r="AH98" s="45"/>
      <c r="AX98" s="45"/>
      <c r="BN98" s="45"/>
      <c r="CD98" s="45"/>
      <c r="CT98" s="45"/>
      <c r="DJ98" s="45"/>
      <c r="DZ98" s="45"/>
    </row>
    <row r="99" spans="2:130" x14ac:dyDescent="0.25">
      <c r="B99" s="740"/>
      <c r="C99" s="46"/>
      <c r="D99" s="540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R99" s="740"/>
      <c r="W99" s="46"/>
      <c r="AH99" s="45"/>
      <c r="AX99" s="45"/>
      <c r="BN99" s="45"/>
      <c r="CD99" s="45"/>
      <c r="CT99" s="45"/>
      <c r="DJ99" s="45"/>
      <c r="DZ99" s="45"/>
    </row>
    <row r="100" spans="2:130" x14ac:dyDescent="0.25">
      <c r="B100" s="740"/>
      <c r="C100" s="46"/>
      <c r="D100" s="540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R100" s="740"/>
      <c r="W100" s="46"/>
      <c r="AH100" s="45"/>
      <c r="AX100" s="45"/>
      <c r="BN100" s="45"/>
      <c r="CD100" s="45"/>
      <c r="CT100" s="45"/>
      <c r="DJ100" s="45"/>
      <c r="DZ100" s="45"/>
    </row>
    <row r="101" spans="2:130" x14ac:dyDescent="0.25">
      <c r="B101" s="741"/>
      <c r="C101" s="46"/>
      <c r="D101" s="540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R101" s="741"/>
      <c r="W101" s="46"/>
      <c r="AH101" s="47"/>
      <c r="AX101" s="47"/>
      <c r="BN101" s="47"/>
      <c r="CD101" s="47"/>
      <c r="CT101" s="47"/>
      <c r="DJ101" s="47"/>
      <c r="DZ101" s="47"/>
    </row>
    <row r="102" spans="2:130" x14ac:dyDescent="0.25">
      <c r="B102" s="733"/>
      <c r="C102" s="49"/>
      <c r="D102" s="536"/>
      <c r="E102" s="49"/>
      <c r="F102" s="49"/>
      <c r="G102" s="8"/>
      <c r="H102" s="53"/>
      <c r="I102" s="53"/>
      <c r="J102" s="8"/>
      <c r="K102" s="53"/>
      <c r="L102" s="53"/>
      <c r="M102" s="39"/>
      <c r="N102" s="463"/>
      <c r="O102" s="347"/>
      <c r="P102" s="463"/>
      <c r="R102" s="733"/>
      <c r="W102" s="53"/>
      <c r="AH102" s="48"/>
      <c r="AX102" s="48"/>
      <c r="BN102" s="48"/>
      <c r="CD102" s="48"/>
      <c r="CT102" s="48"/>
      <c r="DJ102" s="48"/>
      <c r="DZ102" s="48"/>
    </row>
    <row r="103" spans="2:130" x14ac:dyDescent="0.25">
      <c r="B103" s="740"/>
      <c r="C103" s="50"/>
      <c r="D103" s="54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R103" s="740"/>
      <c r="W103" s="50"/>
      <c r="AH103" s="45"/>
      <c r="AX103" s="45"/>
      <c r="BN103" s="45"/>
      <c r="CD103" s="45"/>
      <c r="CT103" s="45"/>
      <c r="DJ103" s="45"/>
      <c r="DZ103" s="45"/>
    </row>
    <row r="104" spans="2:130" x14ac:dyDescent="0.25">
      <c r="B104" s="740"/>
      <c r="C104" s="50"/>
      <c r="D104" s="54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R104" s="740"/>
      <c r="W104" s="50"/>
      <c r="AH104" s="45"/>
      <c r="AX104" s="45"/>
      <c r="BN104" s="45"/>
      <c r="CD104" s="45"/>
      <c r="CT104" s="45"/>
      <c r="DJ104" s="45"/>
      <c r="DZ104" s="45"/>
    </row>
    <row r="105" spans="2:130" x14ac:dyDescent="0.25">
      <c r="B105" s="740"/>
      <c r="C105" s="50"/>
      <c r="D105" s="54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R105" s="740"/>
      <c r="W105" s="50"/>
      <c r="AH105" s="45"/>
      <c r="AX105" s="45"/>
      <c r="BN105" s="45"/>
      <c r="CD105" s="45"/>
      <c r="CT105" s="45"/>
      <c r="DJ105" s="45"/>
      <c r="DZ105" s="45"/>
    </row>
    <row r="106" spans="2:130" x14ac:dyDescent="0.25">
      <c r="B106" s="740"/>
      <c r="C106" s="50"/>
      <c r="D106" s="54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R106" s="740"/>
      <c r="W106" s="50"/>
      <c r="AH106" s="45"/>
      <c r="AX106" s="45"/>
      <c r="BN106" s="45"/>
      <c r="CD106" s="45"/>
      <c r="CT106" s="45"/>
      <c r="DJ106" s="45"/>
      <c r="DZ106" s="45"/>
    </row>
    <row r="107" spans="2:130" x14ac:dyDescent="0.25">
      <c r="B107" s="740"/>
      <c r="C107" s="50"/>
      <c r="D107" s="54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R107" s="740"/>
      <c r="W107" s="50"/>
      <c r="AH107" s="45"/>
      <c r="AX107" s="45"/>
      <c r="BN107" s="45"/>
      <c r="CD107" s="45"/>
      <c r="CT107" s="45"/>
      <c r="DJ107" s="45"/>
      <c r="DZ107" s="45"/>
    </row>
    <row r="108" spans="2:130" x14ac:dyDescent="0.25">
      <c r="B108" s="732"/>
      <c r="C108" s="50"/>
      <c r="D108" s="54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R108" s="732"/>
      <c r="W108" s="50"/>
      <c r="AH108" s="43"/>
      <c r="AX108" s="43"/>
      <c r="BN108" s="43"/>
      <c r="CD108" s="43"/>
      <c r="CT108" s="43"/>
      <c r="DJ108" s="43"/>
      <c r="DZ108" s="43"/>
    </row>
    <row r="109" spans="2:130" x14ac:dyDescent="0.25">
      <c r="B109" s="740"/>
      <c r="C109" s="50"/>
      <c r="D109" s="54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R109" s="740"/>
      <c r="W109" s="50"/>
      <c r="AH109" s="45"/>
      <c r="AX109" s="45"/>
      <c r="BN109" s="45"/>
      <c r="CD109" s="45"/>
      <c r="CT109" s="45"/>
      <c r="DJ109" s="45"/>
      <c r="DZ109" s="45"/>
    </row>
    <row r="110" spans="2:130" x14ac:dyDescent="0.25">
      <c r="B110" s="740"/>
      <c r="C110" s="50"/>
      <c r="D110" s="54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R110" s="740"/>
      <c r="W110" s="50"/>
      <c r="AH110" s="45"/>
      <c r="AX110" s="45"/>
      <c r="BN110" s="45"/>
      <c r="CD110" s="45"/>
      <c r="CT110" s="45"/>
      <c r="DJ110" s="45"/>
      <c r="DZ110" s="45"/>
    </row>
    <row r="111" spans="2:130" x14ac:dyDescent="0.25">
      <c r="B111" s="740"/>
      <c r="C111" s="50"/>
      <c r="D111" s="54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R111" s="740"/>
      <c r="W111" s="50"/>
      <c r="AH111" s="45"/>
      <c r="AX111" s="45"/>
      <c r="BN111" s="45"/>
      <c r="CD111" s="45"/>
      <c r="CT111" s="45"/>
      <c r="DJ111" s="45"/>
      <c r="DZ111" s="45"/>
    </row>
    <row r="112" spans="2:130" x14ac:dyDescent="0.25">
      <c r="B112" s="732"/>
      <c r="C112" s="50"/>
      <c r="D112" s="54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R112" s="732"/>
      <c r="W112" s="50"/>
      <c r="AH112" s="43"/>
      <c r="AX112" s="43"/>
      <c r="BN112" s="43"/>
      <c r="CD112" s="43"/>
      <c r="CT112" s="43"/>
      <c r="DJ112" s="43"/>
      <c r="DZ112" s="43"/>
    </row>
    <row r="113" spans="2:130" x14ac:dyDescent="0.25">
      <c r="B113" s="735"/>
      <c r="C113" s="50"/>
      <c r="D113" s="54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R113" s="735"/>
      <c r="W113" s="50"/>
      <c r="AH113" s="25"/>
      <c r="AX113" s="25"/>
      <c r="BN113" s="25"/>
      <c r="CD113" s="25"/>
      <c r="CT113" s="25"/>
      <c r="DJ113" s="25"/>
      <c r="DZ113" s="25"/>
    </row>
    <row r="114" spans="2:130" x14ac:dyDescent="0.25">
      <c r="B114" s="884"/>
      <c r="C114" s="884"/>
      <c r="D114" s="479"/>
      <c r="E114" s="344"/>
      <c r="F114" s="525"/>
      <c r="G114" s="38"/>
      <c r="H114" s="38"/>
      <c r="I114" s="38"/>
      <c r="J114" s="885"/>
      <c r="K114" s="885"/>
      <c r="L114" s="885"/>
      <c r="M114" s="886"/>
      <c r="N114" s="546"/>
      <c r="O114" s="345"/>
      <c r="P114" s="789"/>
      <c r="W114" s="38"/>
      <c r="AH114"/>
      <c r="AX114"/>
      <c r="BN114"/>
      <c r="CD114"/>
      <c r="CT114"/>
      <c r="DZ114"/>
    </row>
    <row r="115" spans="2:130" x14ac:dyDescent="0.25">
      <c r="B115" s="884"/>
      <c r="C115" s="884"/>
      <c r="D115" s="479"/>
      <c r="E115" s="344"/>
      <c r="F115" s="525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W115" s="38"/>
      <c r="AH115"/>
      <c r="AX115"/>
      <c r="BN115"/>
      <c r="CD115"/>
      <c r="CT115"/>
      <c r="DZ115"/>
    </row>
    <row r="116" spans="2:130" x14ac:dyDescent="0.25">
      <c r="B116" s="743"/>
      <c r="C116" s="39"/>
      <c r="D116" s="526"/>
      <c r="E116" s="347"/>
      <c r="F116" s="463"/>
      <c r="G116" s="38"/>
      <c r="H116" s="38"/>
      <c r="I116" s="38"/>
      <c r="J116" s="38"/>
      <c r="K116" s="38"/>
      <c r="L116" s="38"/>
      <c r="M116" s="39"/>
      <c r="N116" s="463"/>
      <c r="O116" s="347"/>
      <c r="P116" s="463"/>
      <c r="R116" s="743"/>
      <c r="W116" s="38"/>
      <c r="AH116" s="132"/>
      <c r="AX116" s="132"/>
      <c r="BN116" s="132"/>
      <c r="CD116" s="132"/>
      <c r="CT116" s="132"/>
      <c r="DJ116" s="132"/>
      <c r="DZ116" s="132"/>
    </row>
    <row r="117" spans="2:130" x14ac:dyDescent="0.25">
      <c r="B117" s="723"/>
      <c r="C117" s="42"/>
      <c r="D117" s="541"/>
      <c r="E117" s="42"/>
      <c r="F117" s="42"/>
      <c r="G117" s="38"/>
      <c r="H117" s="38"/>
      <c r="I117" s="38"/>
      <c r="J117" s="38"/>
      <c r="K117" s="38"/>
      <c r="L117" s="38"/>
      <c r="M117" s="24"/>
      <c r="N117" s="552"/>
      <c r="O117" s="346"/>
      <c r="P117" s="792"/>
      <c r="R117" s="723"/>
      <c r="W117" s="38"/>
      <c r="AH117" s="41"/>
      <c r="AX117" s="41"/>
      <c r="BN117" s="41"/>
      <c r="CD117" s="41"/>
      <c r="CT117" s="41"/>
      <c r="DJ117" s="41"/>
      <c r="DZ117" s="41"/>
    </row>
    <row r="118" spans="2:130" x14ac:dyDescent="0.25">
      <c r="B118" s="732"/>
      <c r="C118" s="44"/>
      <c r="D118" s="363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R118" s="732"/>
      <c r="W118" s="44"/>
      <c r="AH118" s="43"/>
      <c r="AX118" s="43"/>
      <c r="BN118" s="43"/>
      <c r="CD118" s="43"/>
      <c r="CT118" s="43"/>
      <c r="DJ118" s="43"/>
      <c r="DZ118" s="43"/>
    </row>
    <row r="119" spans="2:130" x14ac:dyDescent="0.25">
      <c r="B119" s="740"/>
      <c r="C119" s="46"/>
      <c r="D119" s="540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R119" s="740"/>
      <c r="W119" s="46"/>
      <c r="AH119" s="45"/>
      <c r="AX119" s="45"/>
      <c r="BN119" s="45"/>
      <c r="CD119" s="45"/>
      <c r="CT119" s="45"/>
      <c r="DJ119" s="45"/>
      <c r="DZ119" s="45"/>
    </row>
    <row r="120" spans="2:130" x14ac:dyDescent="0.25">
      <c r="B120" s="740"/>
      <c r="C120" s="46"/>
      <c r="D120" s="540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R120" s="740"/>
      <c r="W120" s="46"/>
      <c r="AH120" s="45"/>
      <c r="AX120" s="45"/>
      <c r="BN120" s="45"/>
      <c r="CD120" s="45"/>
      <c r="CT120" s="45"/>
      <c r="DJ120" s="45"/>
      <c r="DZ120" s="45"/>
    </row>
    <row r="121" spans="2:130" x14ac:dyDescent="0.25">
      <c r="B121" s="740"/>
      <c r="C121" s="46"/>
      <c r="D121" s="540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R121" s="740"/>
      <c r="W121" s="46"/>
      <c r="AH121" s="45"/>
      <c r="AX121" s="45"/>
      <c r="BN121" s="45"/>
      <c r="CD121" s="45"/>
      <c r="CT121" s="45"/>
      <c r="DJ121" s="45"/>
      <c r="DZ121" s="45"/>
    </row>
    <row r="122" spans="2:130" x14ac:dyDescent="0.25">
      <c r="B122" s="740"/>
      <c r="C122" s="46"/>
      <c r="D122" s="540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R122" s="740"/>
      <c r="W122" s="46"/>
      <c r="AH122" s="45"/>
      <c r="AX122" s="45"/>
      <c r="BN122" s="45"/>
      <c r="CD122" s="45"/>
      <c r="CT122" s="45"/>
      <c r="DJ122" s="45"/>
      <c r="DZ122" s="45"/>
    </row>
    <row r="123" spans="2:130" x14ac:dyDescent="0.25">
      <c r="B123" s="740"/>
      <c r="C123" s="46"/>
      <c r="D123" s="540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R123" s="740"/>
      <c r="W123" s="46"/>
      <c r="AH123" s="45"/>
      <c r="AX123" s="45"/>
      <c r="BN123" s="45"/>
      <c r="CD123" s="45"/>
      <c r="CT123" s="45"/>
      <c r="DJ123" s="45"/>
      <c r="DZ123" s="45"/>
    </row>
    <row r="124" spans="2:130" x14ac:dyDescent="0.25">
      <c r="B124" s="740"/>
      <c r="C124" s="46"/>
      <c r="D124" s="540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R124" s="740"/>
      <c r="W124" s="46"/>
      <c r="AH124" s="45"/>
      <c r="AX124" s="45"/>
      <c r="BN124" s="45"/>
      <c r="CD124" s="45"/>
      <c r="CT124" s="45"/>
      <c r="DJ124" s="45"/>
      <c r="DZ124" s="45"/>
    </row>
    <row r="125" spans="2:130" x14ac:dyDescent="0.25">
      <c r="B125" s="740"/>
      <c r="C125" s="46"/>
      <c r="D125" s="540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R125" s="740"/>
      <c r="W125" s="46"/>
      <c r="AH125" s="45"/>
      <c r="AX125" s="45"/>
      <c r="BN125" s="45"/>
      <c r="CD125" s="45"/>
      <c r="CT125" s="45"/>
      <c r="DJ125" s="45"/>
      <c r="DZ125" s="45"/>
    </row>
    <row r="126" spans="2:130" x14ac:dyDescent="0.25">
      <c r="B126" s="741"/>
      <c r="C126" s="46"/>
      <c r="D126" s="540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R126" s="741"/>
      <c r="W126" s="46"/>
      <c r="AH126" s="47"/>
      <c r="AX126" s="47"/>
      <c r="BN126" s="47"/>
      <c r="CD126" s="47"/>
      <c r="CT126" s="47"/>
      <c r="DJ126" s="47"/>
      <c r="DZ126" s="47"/>
    </row>
    <row r="127" spans="2:130" x14ac:dyDescent="0.25">
      <c r="B127" s="733"/>
      <c r="C127" s="49"/>
      <c r="D127" s="536"/>
      <c r="E127" s="49"/>
      <c r="F127" s="49"/>
      <c r="G127" s="8"/>
      <c r="H127" s="53"/>
      <c r="I127" s="53"/>
      <c r="J127" s="8"/>
      <c r="K127" s="53"/>
      <c r="L127" s="53"/>
      <c r="M127" s="39"/>
      <c r="N127" s="463"/>
      <c r="O127" s="347"/>
      <c r="P127" s="463"/>
      <c r="R127" s="733"/>
      <c r="W127" s="53"/>
      <c r="AD127" s="37"/>
      <c r="AE127" s="37"/>
      <c r="AF127" s="37"/>
      <c r="AH127" s="48"/>
      <c r="AX127" s="48"/>
      <c r="BN127" s="48"/>
      <c r="CD127" s="48"/>
      <c r="CT127" s="48"/>
      <c r="DJ127" s="48"/>
      <c r="DZ127" s="48"/>
    </row>
    <row r="128" spans="2:130" x14ac:dyDescent="0.25">
      <c r="B128" s="740"/>
      <c r="C128" s="50"/>
      <c r="D128" s="54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R128" s="740"/>
      <c r="W128" s="50"/>
      <c r="AD128" s="30"/>
      <c r="AE128" s="30"/>
      <c r="AF128" s="30"/>
      <c r="AH128" s="45"/>
      <c r="AX128" s="45"/>
      <c r="BN128" s="45"/>
      <c r="CD128" s="45"/>
      <c r="CT128" s="45"/>
      <c r="DJ128" s="45"/>
      <c r="DZ128" s="45"/>
    </row>
    <row r="129" spans="2:130" x14ac:dyDescent="0.25">
      <c r="B129" s="740"/>
      <c r="C129" s="50"/>
      <c r="D129" s="54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R129" s="740"/>
      <c r="W129" s="50"/>
      <c r="AD129" s="30"/>
      <c r="AE129" s="30"/>
      <c r="AF129" s="30"/>
      <c r="AH129" s="45"/>
      <c r="AX129" s="45"/>
      <c r="BN129" s="45"/>
      <c r="CD129" s="45"/>
      <c r="CT129" s="45"/>
      <c r="DJ129" s="45"/>
      <c r="DZ129" s="45"/>
    </row>
    <row r="130" spans="2:130" x14ac:dyDescent="0.25">
      <c r="B130" s="740"/>
      <c r="C130" s="50"/>
      <c r="D130" s="54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R130" s="740"/>
      <c r="W130" s="50"/>
      <c r="AD130" s="30"/>
      <c r="AE130" s="30"/>
      <c r="AF130" s="30"/>
      <c r="AH130" s="45"/>
      <c r="AX130" s="45"/>
      <c r="BN130" s="45"/>
      <c r="CD130" s="45"/>
      <c r="CT130" s="45"/>
      <c r="DJ130" s="45"/>
      <c r="DZ130" s="45"/>
    </row>
    <row r="131" spans="2:130" x14ac:dyDescent="0.25">
      <c r="B131" s="740"/>
      <c r="C131" s="50"/>
      <c r="D131" s="54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R131" s="740"/>
      <c r="W131" s="50"/>
      <c r="AH131" s="45"/>
      <c r="AX131" s="45"/>
      <c r="BN131" s="45"/>
      <c r="CD131" s="45"/>
      <c r="CT131" s="45"/>
      <c r="DJ131" s="45"/>
      <c r="DZ131" s="45"/>
    </row>
    <row r="132" spans="2:130" x14ac:dyDescent="0.25">
      <c r="B132" s="740"/>
      <c r="C132" s="50"/>
      <c r="D132" s="54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R132" s="740"/>
      <c r="W132" s="50"/>
      <c r="AH132" s="45"/>
      <c r="AX132" s="45"/>
      <c r="BN132" s="45"/>
      <c r="CD132" s="45"/>
      <c r="CT132" s="45"/>
      <c r="DJ132" s="45"/>
      <c r="DZ132" s="45"/>
    </row>
    <row r="133" spans="2:130" x14ac:dyDescent="0.25">
      <c r="B133" s="732"/>
      <c r="C133" s="50"/>
      <c r="D133" s="54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R133" s="732"/>
      <c r="W133" s="50"/>
      <c r="AH133" s="43"/>
      <c r="AX133" s="43"/>
      <c r="BN133" s="43"/>
      <c r="CD133" s="43"/>
      <c r="CT133" s="43"/>
      <c r="DJ133" s="43"/>
      <c r="DZ133" s="43"/>
    </row>
    <row r="134" spans="2:130" x14ac:dyDescent="0.25">
      <c r="B134" s="740"/>
      <c r="C134" s="50"/>
      <c r="D134" s="54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R134" s="740"/>
      <c r="W134" s="50"/>
      <c r="AH134" s="45"/>
      <c r="AX134" s="45"/>
      <c r="BN134" s="45"/>
      <c r="CD134" s="45"/>
      <c r="CT134" s="45"/>
      <c r="DJ134" s="45"/>
      <c r="DZ134" s="45"/>
    </row>
    <row r="135" spans="2:130" x14ac:dyDescent="0.25">
      <c r="B135" s="740"/>
      <c r="C135" s="50"/>
      <c r="D135" s="54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R135" s="740"/>
      <c r="W135" s="50"/>
      <c r="AH135" s="45"/>
      <c r="AX135" s="45"/>
      <c r="BN135" s="45"/>
      <c r="CD135" s="45"/>
      <c r="CT135" s="45"/>
      <c r="DJ135" s="45"/>
      <c r="DZ135" s="45"/>
    </row>
    <row r="136" spans="2:130" x14ac:dyDescent="0.25">
      <c r="B136" s="740"/>
      <c r="C136" s="50"/>
      <c r="D136" s="54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R136" s="740"/>
      <c r="W136" s="50"/>
      <c r="AH136" s="45"/>
      <c r="AX136" s="45"/>
      <c r="BN136" s="45"/>
      <c r="CD136" s="45"/>
      <c r="CT136" s="45"/>
      <c r="DJ136" s="45"/>
      <c r="DZ136" s="45"/>
    </row>
    <row r="137" spans="2:130" x14ac:dyDescent="0.25">
      <c r="B137" s="732"/>
      <c r="C137" s="50"/>
      <c r="D137" s="54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R137" s="732"/>
      <c r="W137" s="50"/>
      <c r="AH137" s="43"/>
      <c r="AX137" s="43"/>
      <c r="BN137" s="43"/>
      <c r="CD137" s="43"/>
      <c r="CT137" s="43"/>
      <c r="DJ137" s="43"/>
      <c r="DZ137" s="43"/>
    </row>
    <row r="138" spans="2:130" x14ac:dyDescent="0.25">
      <c r="B138" s="735"/>
      <c r="C138" s="50"/>
      <c r="D138" s="54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R138" s="735"/>
      <c r="W138" s="50"/>
      <c r="AH138" s="25"/>
      <c r="AX138" s="25"/>
      <c r="BN138" s="25"/>
      <c r="CD138" s="25"/>
      <c r="CT138" s="25"/>
      <c r="DJ138" s="25"/>
      <c r="DZ138" s="25"/>
    </row>
    <row r="139" spans="2:130" x14ac:dyDescent="0.25">
      <c r="B139" s="742"/>
      <c r="C139" s="8"/>
      <c r="E139" s="53"/>
      <c r="F139" s="53"/>
      <c r="G139" s="8"/>
      <c r="H139" s="53"/>
      <c r="I139" s="53"/>
      <c r="J139" s="8"/>
      <c r="K139" s="53"/>
      <c r="L139" s="53"/>
      <c r="M139" s="8"/>
      <c r="N139" s="53"/>
      <c r="O139" s="53"/>
      <c r="P139" s="53"/>
      <c r="R139" s="742"/>
      <c r="W139" s="53"/>
      <c r="AH139" s="53"/>
      <c r="AX139" s="53"/>
      <c r="BN139" s="53"/>
      <c r="CD139" s="53"/>
      <c r="CT139" s="53"/>
      <c r="DJ139" s="53"/>
      <c r="DZ139" s="53"/>
    </row>
    <row r="140" spans="2:130" x14ac:dyDescent="0.25">
      <c r="B140" s="742"/>
      <c r="C140" s="8"/>
      <c r="E140" s="53"/>
      <c r="F140" s="53"/>
      <c r="G140" s="8"/>
      <c r="H140" s="53"/>
      <c r="I140" s="53"/>
      <c r="J140" s="8"/>
      <c r="K140" s="53"/>
      <c r="L140" s="53"/>
      <c r="M140" s="8"/>
      <c r="N140" s="53"/>
      <c r="O140" s="53"/>
      <c r="P140" s="53"/>
      <c r="R140" s="742"/>
      <c r="W140" s="53"/>
      <c r="AH140" s="53"/>
      <c r="AX140" s="53"/>
      <c r="BN140" s="53"/>
      <c r="CD140" s="53"/>
      <c r="CT140" s="53"/>
      <c r="DJ140" s="53"/>
      <c r="DZ140" s="53"/>
    </row>
    <row r="141" spans="2:130" x14ac:dyDescent="0.25">
      <c r="B141" s="742"/>
      <c r="C141" s="8"/>
      <c r="E141" s="53"/>
      <c r="F141" s="53"/>
      <c r="G141" s="8"/>
      <c r="H141" s="53"/>
      <c r="I141" s="53"/>
      <c r="J141" s="8"/>
      <c r="K141" s="53"/>
      <c r="L141" s="53"/>
      <c r="M141" s="8"/>
      <c r="N141" s="53"/>
      <c r="O141" s="53"/>
      <c r="P141" s="53"/>
      <c r="R141" s="742"/>
      <c r="W141" s="53"/>
      <c r="AH141" s="53"/>
      <c r="AX141" s="53"/>
      <c r="BN141" s="53"/>
      <c r="CD141" s="53"/>
      <c r="CT141" s="53"/>
      <c r="DJ141" s="53"/>
      <c r="DZ141" s="53"/>
    </row>
    <row r="142" spans="2:130" x14ac:dyDescent="0.25">
      <c r="B142" s="884"/>
      <c r="C142" s="884"/>
      <c r="D142" s="479"/>
      <c r="E142" s="344"/>
      <c r="F142" s="525"/>
      <c r="G142" s="38"/>
      <c r="H142" s="38"/>
      <c r="I142" s="38"/>
      <c r="J142" s="885"/>
      <c r="K142" s="885"/>
      <c r="L142" s="885"/>
      <c r="M142" s="886"/>
      <c r="N142" s="546"/>
      <c r="O142" s="345"/>
      <c r="P142" s="789"/>
      <c r="W142" s="38"/>
      <c r="AH142"/>
      <c r="AX142"/>
      <c r="BN142"/>
      <c r="CD142"/>
      <c r="CT142"/>
      <c r="DZ142"/>
    </row>
    <row r="143" spans="2:130" x14ac:dyDescent="0.25">
      <c r="B143" s="884"/>
      <c r="C143" s="884"/>
      <c r="D143" s="479"/>
      <c r="E143" s="344"/>
      <c r="F143" s="525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W143" s="38"/>
      <c r="AH143"/>
      <c r="AX143"/>
      <c r="BN143"/>
      <c r="CD143"/>
      <c r="CT143"/>
      <c r="DZ143"/>
    </row>
    <row r="144" spans="2:130" x14ac:dyDescent="0.25">
      <c r="B144" s="743"/>
      <c r="C144" s="39"/>
      <c r="D144" s="526"/>
      <c r="E144" s="347"/>
      <c r="F144" s="463"/>
      <c r="G144" s="38"/>
      <c r="H144" s="38"/>
      <c r="I144" s="38"/>
      <c r="J144" s="38"/>
      <c r="K144" s="38"/>
      <c r="L144" s="38"/>
      <c r="M144" s="39"/>
      <c r="N144" s="463"/>
      <c r="O144" s="347"/>
      <c r="P144" s="463"/>
      <c r="R144" s="743"/>
      <c r="W144" s="38"/>
      <c r="AH144" s="132"/>
      <c r="AX144" s="132"/>
      <c r="BN144" s="132"/>
      <c r="CD144" s="132"/>
      <c r="CT144" s="132"/>
      <c r="DJ144" s="132"/>
      <c r="DZ144" s="132"/>
    </row>
    <row r="145" spans="2:130" x14ac:dyDescent="0.25">
      <c r="B145" s="723"/>
      <c r="C145" s="42"/>
      <c r="D145" s="541"/>
      <c r="E145" s="42"/>
      <c r="F145" s="42"/>
      <c r="G145" s="38"/>
      <c r="H145" s="38"/>
      <c r="I145" s="38"/>
      <c r="J145" s="38"/>
      <c r="K145" s="38"/>
      <c r="L145" s="38"/>
      <c r="M145" s="24"/>
      <c r="N145" s="552"/>
      <c r="O145" s="346"/>
      <c r="P145" s="792"/>
      <c r="R145" s="723"/>
      <c r="W145" s="38"/>
      <c r="AH145" s="41"/>
      <c r="AX145" s="41"/>
      <c r="BN145" s="41"/>
      <c r="CD145" s="41"/>
      <c r="CT145" s="41"/>
      <c r="DJ145" s="41"/>
      <c r="DZ145" s="41"/>
    </row>
    <row r="146" spans="2:130" x14ac:dyDescent="0.25">
      <c r="B146" s="732"/>
      <c r="C146" s="44"/>
      <c r="D146" s="363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R146" s="732"/>
      <c r="W146" s="44"/>
      <c r="AH146" s="43"/>
      <c r="AX146" s="43"/>
      <c r="BN146" s="43"/>
      <c r="CD146" s="43"/>
      <c r="CT146" s="43"/>
      <c r="DJ146" s="43"/>
      <c r="DZ146" s="43"/>
    </row>
    <row r="147" spans="2:130" x14ac:dyDescent="0.25">
      <c r="B147" s="740"/>
      <c r="C147" s="46"/>
      <c r="D147" s="540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R147" s="740"/>
      <c r="W147" s="46"/>
      <c r="AH147" s="45"/>
      <c r="AX147" s="45"/>
      <c r="BN147" s="45"/>
      <c r="CD147" s="45"/>
      <c r="CT147" s="45"/>
      <c r="DJ147" s="45"/>
      <c r="DZ147" s="45"/>
    </row>
    <row r="148" spans="2:130" x14ac:dyDescent="0.25">
      <c r="B148" s="740"/>
      <c r="C148" s="46"/>
      <c r="D148" s="540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R148" s="740"/>
      <c r="W148" s="46"/>
      <c r="AH148" s="45"/>
      <c r="AX148" s="45"/>
      <c r="BN148" s="45"/>
      <c r="CD148" s="45"/>
      <c r="CT148" s="45"/>
      <c r="DJ148" s="45"/>
      <c r="DZ148" s="45"/>
    </row>
    <row r="149" spans="2:130" x14ac:dyDescent="0.25">
      <c r="B149" s="740"/>
      <c r="C149" s="46"/>
      <c r="D149" s="540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R149" s="740"/>
      <c r="W149" s="46"/>
      <c r="AH149" s="45"/>
      <c r="AX149" s="45"/>
      <c r="BN149" s="45"/>
      <c r="CD149" s="45"/>
      <c r="CT149" s="45"/>
      <c r="DJ149" s="45"/>
      <c r="DZ149" s="45"/>
    </row>
    <row r="150" spans="2:130" x14ac:dyDescent="0.25">
      <c r="B150" s="740"/>
      <c r="C150" s="46"/>
      <c r="D150" s="540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R150" s="740"/>
      <c r="W150" s="46"/>
      <c r="AH150" s="45"/>
      <c r="AX150" s="45"/>
      <c r="BN150" s="45"/>
      <c r="CD150" s="45"/>
      <c r="CT150" s="45"/>
      <c r="DJ150" s="45"/>
      <c r="DZ150" s="45"/>
    </row>
    <row r="151" spans="2:130" x14ac:dyDescent="0.25">
      <c r="B151" s="740"/>
      <c r="C151" s="46"/>
      <c r="D151" s="540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R151" s="740"/>
      <c r="W151" s="46"/>
      <c r="AH151" s="45"/>
      <c r="AX151" s="45"/>
      <c r="BN151" s="45"/>
      <c r="CD151" s="45"/>
      <c r="CT151" s="45"/>
      <c r="DJ151" s="45"/>
      <c r="DZ151" s="45"/>
    </row>
    <row r="152" spans="2:130" x14ac:dyDescent="0.25">
      <c r="B152" s="740"/>
      <c r="C152" s="46"/>
      <c r="D152" s="540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R152" s="740"/>
      <c r="W152" s="46"/>
      <c r="AH152" s="45"/>
      <c r="AX152" s="45"/>
      <c r="BN152" s="45"/>
      <c r="CD152" s="45"/>
      <c r="CT152" s="45"/>
      <c r="DJ152" s="45"/>
      <c r="DZ152" s="45"/>
    </row>
    <row r="153" spans="2:130" x14ac:dyDescent="0.25">
      <c r="B153" s="740"/>
      <c r="C153" s="46"/>
      <c r="D153" s="540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R153" s="740"/>
      <c r="W153" s="46"/>
      <c r="AH153" s="45"/>
      <c r="AX153" s="45"/>
      <c r="BN153" s="45"/>
      <c r="CD153" s="45"/>
      <c r="CT153" s="45"/>
      <c r="DJ153" s="45"/>
      <c r="DZ153" s="45"/>
    </row>
    <row r="154" spans="2:130" x14ac:dyDescent="0.25">
      <c r="B154" s="741"/>
      <c r="C154" s="46"/>
      <c r="D154" s="540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R154" s="741"/>
      <c r="W154" s="46"/>
      <c r="AH154" s="47"/>
      <c r="AX154" s="47"/>
      <c r="BN154" s="47"/>
      <c r="CD154" s="47"/>
      <c r="CT154" s="47"/>
      <c r="DJ154" s="47"/>
      <c r="DZ154" s="47"/>
    </row>
    <row r="155" spans="2:130" x14ac:dyDescent="0.25">
      <c r="B155" s="733"/>
      <c r="C155" s="49"/>
      <c r="D155" s="536"/>
      <c r="E155" s="49"/>
      <c r="F155" s="49"/>
      <c r="G155" s="8"/>
      <c r="H155" s="53"/>
      <c r="I155" s="53"/>
      <c r="J155" s="8"/>
      <c r="K155" s="53"/>
      <c r="L155" s="53"/>
      <c r="M155" s="39"/>
      <c r="N155" s="463"/>
      <c r="O155" s="347"/>
      <c r="P155" s="463"/>
      <c r="R155" s="733"/>
      <c r="W155" s="53"/>
      <c r="AH155" s="48"/>
      <c r="AX155" s="48"/>
      <c r="BN155" s="48"/>
      <c r="CD155" s="48"/>
      <c r="CT155" s="48"/>
      <c r="DJ155" s="48"/>
      <c r="DZ155" s="48"/>
    </row>
    <row r="156" spans="2:130" x14ac:dyDescent="0.25">
      <c r="B156" s="740"/>
      <c r="C156" s="50"/>
      <c r="D156" s="54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R156" s="740"/>
      <c r="W156" s="50"/>
      <c r="AH156" s="45"/>
      <c r="AX156" s="45"/>
      <c r="BN156" s="45"/>
      <c r="CD156" s="45"/>
      <c r="CT156" s="45"/>
      <c r="DJ156" s="45"/>
      <c r="DZ156" s="45"/>
    </row>
    <row r="157" spans="2:130" x14ac:dyDescent="0.25">
      <c r="B157" s="740"/>
      <c r="C157" s="50"/>
      <c r="D157" s="54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R157" s="740"/>
      <c r="W157" s="50"/>
      <c r="AH157" s="45"/>
      <c r="AX157" s="45"/>
      <c r="BN157" s="45"/>
      <c r="CD157" s="45"/>
      <c r="CT157" s="45"/>
      <c r="DJ157" s="45"/>
      <c r="DZ157" s="45"/>
    </row>
    <row r="158" spans="2:130" x14ac:dyDescent="0.25">
      <c r="B158" s="740"/>
      <c r="C158" s="50"/>
      <c r="D158" s="54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R158" s="740"/>
      <c r="W158" s="50"/>
      <c r="AH158" s="45"/>
      <c r="AX158" s="45"/>
      <c r="BN158" s="45"/>
      <c r="CD158" s="45"/>
      <c r="CT158" s="45"/>
      <c r="DJ158" s="45"/>
      <c r="DZ158" s="45"/>
    </row>
    <row r="159" spans="2:130" x14ac:dyDescent="0.25">
      <c r="B159" s="740"/>
      <c r="C159" s="50"/>
      <c r="D159" s="54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R159" s="740"/>
      <c r="W159" s="50"/>
      <c r="AH159" s="45"/>
      <c r="AX159" s="45"/>
      <c r="BN159" s="45"/>
      <c r="CD159" s="45"/>
      <c r="CT159" s="45"/>
      <c r="DJ159" s="45"/>
      <c r="DZ159" s="45"/>
    </row>
    <row r="160" spans="2:130" x14ac:dyDescent="0.25">
      <c r="B160" s="740"/>
      <c r="C160" s="50"/>
      <c r="D160" s="54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R160" s="740"/>
      <c r="W160" s="50"/>
      <c r="AH160" s="45"/>
      <c r="AX160" s="45"/>
      <c r="BN160" s="45"/>
      <c r="CD160" s="45"/>
      <c r="CT160" s="45"/>
      <c r="DJ160" s="45"/>
      <c r="DZ160" s="45"/>
    </row>
    <row r="161" spans="2:130" x14ac:dyDescent="0.25">
      <c r="B161" s="732"/>
      <c r="C161" s="50"/>
      <c r="D161" s="54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R161" s="732"/>
      <c r="W161" s="50"/>
      <c r="AH161" s="43"/>
      <c r="AX161" s="43"/>
      <c r="BN161" s="43"/>
      <c r="CD161" s="43"/>
      <c r="CT161" s="43"/>
      <c r="DJ161" s="43"/>
      <c r="DZ161" s="43"/>
    </row>
    <row r="162" spans="2:130" x14ac:dyDescent="0.25">
      <c r="B162" s="740"/>
      <c r="C162" s="50"/>
      <c r="D162" s="54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R162" s="740"/>
      <c r="W162" s="50"/>
      <c r="AH162" s="45"/>
      <c r="AX162" s="45"/>
      <c r="BN162" s="45"/>
      <c r="CD162" s="45"/>
      <c r="CT162" s="45"/>
      <c r="DJ162" s="45"/>
      <c r="DZ162" s="45"/>
    </row>
    <row r="163" spans="2:130" x14ac:dyDescent="0.25">
      <c r="B163" s="740"/>
      <c r="C163" s="50"/>
      <c r="D163" s="54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R163" s="740"/>
      <c r="W163" s="50"/>
      <c r="AH163" s="45"/>
      <c r="AX163" s="45"/>
      <c r="BN163" s="45"/>
      <c r="CD163" s="45"/>
      <c r="CT163" s="45"/>
      <c r="DJ163" s="45"/>
      <c r="DZ163" s="45"/>
    </row>
    <row r="164" spans="2:130" x14ac:dyDescent="0.25">
      <c r="B164" s="740"/>
      <c r="C164" s="50"/>
      <c r="D164" s="54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R164" s="740"/>
      <c r="W164" s="50"/>
      <c r="AH164" s="45"/>
      <c r="AX164" s="45"/>
      <c r="BN164" s="45"/>
      <c r="CD164" s="45"/>
      <c r="CT164" s="45"/>
      <c r="DJ164" s="45"/>
      <c r="DZ164" s="45"/>
    </row>
    <row r="165" spans="2:130" x14ac:dyDescent="0.25">
      <c r="B165" s="732"/>
      <c r="C165" s="50"/>
      <c r="D165" s="54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R165" s="732"/>
      <c r="W165" s="50"/>
      <c r="AH165" s="43"/>
      <c r="AX165" s="43"/>
      <c r="BN165" s="43"/>
      <c r="CD165" s="43"/>
      <c r="CT165" s="43"/>
      <c r="DJ165" s="43"/>
      <c r="DZ165" s="43"/>
    </row>
    <row r="166" spans="2:130" x14ac:dyDescent="0.25">
      <c r="B166" s="735"/>
      <c r="C166" s="50"/>
      <c r="D166" s="54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R166" s="735"/>
      <c r="W166" s="50"/>
      <c r="AH166" s="25"/>
      <c r="AX166" s="25"/>
      <c r="BN166" s="25"/>
      <c r="CD166" s="25"/>
      <c r="CT166" s="25"/>
      <c r="DJ166" s="25"/>
      <c r="DZ166" s="25"/>
    </row>
    <row r="167" spans="2:130" x14ac:dyDescent="0.25">
      <c r="B167" s="884"/>
      <c r="C167" s="884"/>
      <c r="D167" s="479"/>
      <c r="E167" s="344"/>
      <c r="F167" s="525"/>
      <c r="G167" s="38"/>
      <c r="H167" s="38"/>
      <c r="I167" s="38"/>
      <c r="J167" s="885"/>
      <c r="K167" s="885"/>
      <c r="L167" s="885"/>
      <c r="M167" s="886"/>
      <c r="N167" s="546"/>
      <c r="O167" s="345"/>
      <c r="P167" s="789"/>
      <c r="W167" s="38"/>
      <c r="AH167"/>
      <c r="AX167"/>
      <c r="BN167"/>
      <c r="CD167"/>
      <c r="CT167"/>
      <c r="DZ167"/>
    </row>
    <row r="168" spans="2:130" x14ac:dyDescent="0.25">
      <c r="B168" s="884"/>
      <c r="C168" s="884"/>
      <c r="D168" s="479"/>
      <c r="E168" s="344"/>
      <c r="F168" s="525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W168" s="38"/>
      <c r="AH168"/>
      <c r="AX168"/>
      <c r="BN168"/>
      <c r="CD168"/>
      <c r="CT168"/>
      <c r="DZ168"/>
    </row>
    <row r="169" spans="2:130" x14ac:dyDescent="0.25">
      <c r="B169" s="743"/>
      <c r="C169" s="39"/>
      <c r="D169" s="526"/>
      <c r="E169" s="347"/>
      <c r="F169" s="463"/>
      <c r="G169" s="38"/>
      <c r="H169" s="38"/>
      <c r="I169" s="38"/>
      <c r="J169" s="38"/>
      <c r="K169" s="38"/>
      <c r="L169" s="38"/>
      <c r="M169" s="39"/>
      <c r="N169" s="463"/>
      <c r="O169" s="347"/>
      <c r="P169" s="463"/>
      <c r="R169" s="743"/>
      <c r="W169" s="38"/>
      <c r="AH169" s="132"/>
      <c r="AX169" s="132"/>
      <c r="BN169" s="132"/>
      <c r="CD169" s="132"/>
      <c r="CT169" s="132"/>
      <c r="DJ169" s="132"/>
      <c r="DZ169" s="132"/>
    </row>
    <row r="170" spans="2:130" x14ac:dyDescent="0.25">
      <c r="B170" s="723"/>
      <c r="C170" s="42"/>
      <c r="D170" s="541"/>
      <c r="E170" s="42"/>
      <c r="F170" s="42"/>
      <c r="G170" s="38"/>
      <c r="H170" s="38"/>
      <c r="I170" s="38"/>
      <c r="J170" s="38"/>
      <c r="K170" s="38"/>
      <c r="L170" s="38"/>
      <c r="M170" s="24"/>
      <c r="N170" s="552"/>
      <c r="O170" s="346"/>
      <c r="P170" s="792"/>
      <c r="R170" s="723"/>
      <c r="W170" s="38"/>
      <c r="AH170" s="41"/>
      <c r="AX170" s="41"/>
      <c r="BN170" s="41"/>
      <c r="CD170" s="41"/>
      <c r="CT170" s="41"/>
      <c r="DJ170" s="41"/>
      <c r="DZ170" s="41"/>
    </row>
    <row r="171" spans="2:130" x14ac:dyDescent="0.25">
      <c r="B171" s="732"/>
      <c r="C171" s="44"/>
      <c r="D171" s="363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R171" s="732"/>
      <c r="W171" s="44"/>
      <c r="AH171" s="43"/>
      <c r="AX171" s="43"/>
      <c r="BN171" s="43"/>
      <c r="CD171" s="43"/>
      <c r="CT171" s="43"/>
      <c r="DJ171" s="43"/>
      <c r="DZ171" s="43"/>
    </row>
    <row r="172" spans="2:130" x14ac:dyDescent="0.25">
      <c r="B172" s="740"/>
      <c r="C172" s="46"/>
      <c r="D172" s="540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R172" s="740"/>
      <c r="W172" s="46"/>
      <c r="AH172" s="45"/>
      <c r="AX172" s="45"/>
      <c r="BN172" s="45"/>
      <c r="CD172" s="45"/>
      <c r="CT172" s="45"/>
      <c r="DJ172" s="45"/>
      <c r="DZ172" s="45"/>
    </row>
    <row r="173" spans="2:130" x14ac:dyDescent="0.25">
      <c r="B173" s="740"/>
      <c r="C173" s="46"/>
      <c r="D173" s="540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R173" s="740"/>
      <c r="W173" s="46"/>
      <c r="AH173" s="45"/>
      <c r="AX173" s="45"/>
      <c r="BN173" s="45"/>
      <c r="CD173" s="45"/>
      <c r="CT173" s="45"/>
      <c r="DJ173" s="45"/>
      <c r="DZ173" s="45"/>
    </row>
    <row r="174" spans="2:130" x14ac:dyDescent="0.25">
      <c r="B174" s="740"/>
      <c r="C174" s="46"/>
      <c r="D174" s="540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R174" s="740"/>
      <c r="W174" s="46"/>
      <c r="AH174" s="45"/>
      <c r="AX174" s="45"/>
      <c r="BN174" s="45"/>
      <c r="CD174" s="45"/>
      <c r="CT174" s="45"/>
      <c r="DJ174" s="45"/>
      <c r="DZ174" s="45"/>
    </row>
    <row r="175" spans="2:130" x14ac:dyDescent="0.25">
      <c r="B175" s="740"/>
      <c r="C175" s="46"/>
      <c r="D175" s="540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R175" s="740"/>
      <c r="W175" s="46"/>
      <c r="AH175" s="45"/>
      <c r="AX175" s="45"/>
      <c r="BN175" s="45"/>
      <c r="CD175" s="45"/>
      <c r="CT175" s="45"/>
      <c r="DJ175" s="45"/>
      <c r="DZ175" s="45"/>
    </row>
    <row r="176" spans="2:130" x14ac:dyDescent="0.25">
      <c r="B176" s="740"/>
      <c r="C176" s="46"/>
      <c r="D176" s="540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R176" s="740"/>
      <c r="W176" s="46"/>
      <c r="AH176" s="45"/>
      <c r="AX176" s="45"/>
      <c r="BN176" s="45"/>
      <c r="CD176" s="45"/>
      <c r="CT176" s="45"/>
      <c r="DJ176" s="45"/>
      <c r="DZ176" s="45"/>
    </row>
    <row r="177" spans="2:130" x14ac:dyDescent="0.25">
      <c r="B177" s="740"/>
      <c r="C177" s="46"/>
      <c r="D177" s="540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R177" s="740"/>
      <c r="W177" s="46"/>
      <c r="AH177" s="45"/>
      <c r="AX177" s="45"/>
      <c r="BN177" s="45"/>
      <c r="CD177" s="45"/>
      <c r="CT177" s="45"/>
      <c r="DJ177" s="45"/>
      <c r="DZ177" s="45"/>
    </row>
    <row r="178" spans="2:130" x14ac:dyDescent="0.25">
      <c r="B178" s="740"/>
      <c r="C178" s="46"/>
      <c r="D178" s="540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R178" s="740"/>
      <c r="W178" s="46"/>
      <c r="AH178" s="45"/>
      <c r="AX178" s="45"/>
      <c r="BN178" s="45"/>
      <c r="CD178" s="45"/>
      <c r="CT178" s="45"/>
      <c r="DJ178" s="45"/>
      <c r="DZ178" s="45"/>
    </row>
    <row r="179" spans="2:130" x14ac:dyDescent="0.25">
      <c r="B179" s="741"/>
      <c r="C179" s="46"/>
      <c r="D179" s="540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R179" s="741"/>
      <c r="W179" s="46"/>
      <c r="AH179" s="47"/>
      <c r="AX179" s="47"/>
      <c r="BN179" s="47"/>
      <c r="CD179" s="47"/>
      <c r="CT179" s="47"/>
      <c r="DJ179" s="47"/>
      <c r="DZ179" s="47"/>
    </row>
    <row r="180" spans="2:130" x14ac:dyDescent="0.25">
      <c r="B180" s="733"/>
      <c r="C180" s="49"/>
      <c r="D180" s="536"/>
      <c r="E180" s="49"/>
      <c r="F180" s="49"/>
      <c r="G180" s="8"/>
      <c r="H180" s="53"/>
      <c r="I180" s="53"/>
      <c r="J180" s="8"/>
      <c r="K180" s="53"/>
      <c r="L180" s="53"/>
      <c r="M180" s="39"/>
      <c r="N180" s="463"/>
      <c r="O180" s="347"/>
      <c r="P180" s="463"/>
      <c r="R180" s="733"/>
      <c r="W180" s="53"/>
      <c r="AH180" s="48"/>
      <c r="AX180" s="48"/>
      <c r="BN180" s="48"/>
      <c r="CD180" s="48"/>
      <c r="CT180" s="48"/>
      <c r="DJ180" s="48"/>
      <c r="DZ180" s="48"/>
    </row>
    <row r="181" spans="2:130" x14ac:dyDescent="0.25">
      <c r="B181" s="740"/>
      <c r="C181" s="50"/>
      <c r="D181" s="54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R181" s="740"/>
      <c r="W181" s="50"/>
      <c r="AH181" s="45"/>
      <c r="AX181" s="45"/>
      <c r="BN181" s="45"/>
      <c r="CD181" s="45"/>
      <c r="CT181" s="45"/>
      <c r="DJ181" s="45"/>
      <c r="DZ181" s="45"/>
    </row>
    <row r="182" spans="2:130" x14ac:dyDescent="0.25">
      <c r="B182" s="740"/>
      <c r="C182" s="50"/>
      <c r="D182" s="54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R182" s="740"/>
      <c r="W182" s="50"/>
      <c r="AH182" s="45"/>
      <c r="AX182" s="45"/>
      <c r="BN182" s="45"/>
      <c r="CD182" s="45"/>
      <c r="CT182" s="45"/>
      <c r="DJ182" s="45"/>
      <c r="DZ182" s="45"/>
    </row>
    <row r="183" spans="2:130" x14ac:dyDescent="0.25">
      <c r="B183" s="740"/>
      <c r="C183" s="50"/>
      <c r="D183" s="54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R183" s="740"/>
      <c r="W183" s="50"/>
      <c r="AH183" s="45"/>
      <c r="AX183" s="45"/>
      <c r="BN183" s="45"/>
      <c r="CD183" s="45"/>
      <c r="CT183" s="45"/>
      <c r="DJ183" s="45"/>
      <c r="DZ183" s="45"/>
    </row>
    <row r="184" spans="2:130" x14ac:dyDescent="0.25">
      <c r="B184" s="740"/>
      <c r="C184" s="50"/>
      <c r="D184" s="54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R184" s="740"/>
      <c r="W184" s="50"/>
      <c r="AH184" s="45"/>
      <c r="AX184" s="45"/>
      <c r="BN184" s="45"/>
      <c r="CD184" s="45"/>
      <c r="CT184" s="45"/>
      <c r="DJ184" s="45"/>
      <c r="DZ184" s="45"/>
    </row>
    <row r="185" spans="2:130" x14ac:dyDescent="0.25">
      <c r="B185" s="740"/>
      <c r="C185" s="50"/>
      <c r="D185" s="54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R185" s="740"/>
      <c r="W185" s="50"/>
      <c r="AH185" s="45"/>
      <c r="AX185" s="45"/>
      <c r="BN185" s="45"/>
      <c r="CD185" s="45"/>
      <c r="CT185" s="45"/>
      <c r="DJ185" s="45"/>
      <c r="DZ185" s="45"/>
    </row>
    <row r="186" spans="2:130" x14ac:dyDescent="0.25">
      <c r="B186" s="732"/>
      <c r="C186" s="50"/>
      <c r="D186" s="54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R186" s="732"/>
      <c r="W186" s="50"/>
      <c r="AH186" s="43"/>
      <c r="AX186" s="43"/>
      <c r="BN186" s="43"/>
      <c r="CD186" s="43"/>
      <c r="CT186" s="43"/>
      <c r="DJ186" s="43"/>
      <c r="DZ186" s="43"/>
    </row>
    <row r="187" spans="2:130" x14ac:dyDescent="0.25">
      <c r="B187" s="740"/>
      <c r="C187" s="50"/>
      <c r="D187" s="54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R187" s="740"/>
      <c r="W187" s="50"/>
      <c r="AH187" s="45"/>
      <c r="AX187" s="45"/>
      <c r="BN187" s="45"/>
      <c r="CD187" s="45"/>
      <c r="CT187" s="45"/>
      <c r="DJ187" s="45"/>
      <c r="DZ187" s="45"/>
    </row>
    <row r="188" spans="2:130" x14ac:dyDescent="0.25">
      <c r="B188" s="740"/>
      <c r="C188" s="50"/>
      <c r="D188" s="54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R188" s="740"/>
      <c r="W188" s="50"/>
      <c r="AH188" s="45"/>
      <c r="AX188" s="45"/>
      <c r="BN188" s="45"/>
      <c r="CD188" s="45"/>
      <c r="CT188" s="45"/>
      <c r="DJ188" s="45"/>
      <c r="DZ188" s="45"/>
    </row>
    <row r="189" spans="2:130" x14ac:dyDescent="0.25">
      <c r="B189" s="740"/>
      <c r="C189" s="50"/>
      <c r="D189" s="54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R189" s="740"/>
      <c r="W189" s="50"/>
      <c r="AH189" s="45"/>
      <c r="AX189" s="45"/>
      <c r="BN189" s="45"/>
      <c r="CD189" s="45"/>
      <c r="CT189" s="45"/>
      <c r="DJ189" s="45"/>
      <c r="DZ189" s="45"/>
    </row>
    <row r="190" spans="2:130" x14ac:dyDescent="0.25">
      <c r="B190" s="732"/>
      <c r="C190" s="50"/>
      <c r="D190" s="54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R190" s="732"/>
      <c r="W190" s="50"/>
      <c r="AH190" s="43"/>
      <c r="AX190" s="43"/>
      <c r="BN190" s="43"/>
      <c r="CD190" s="43"/>
      <c r="CT190" s="43"/>
      <c r="DJ190" s="43"/>
      <c r="DZ190" s="43"/>
    </row>
    <row r="191" spans="2:130" x14ac:dyDescent="0.25">
      <c r="B191" s="735"/>
      <c r="C191" s="50"/>
      <c r="D191" s="54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R191" s="735"/>
      <c r="W191" s="50"/>
      <c r="AH191" s="25"/>
      <c r="AX191" s="25"/>
      <c r="BN191" s="25"/>
      <c r="CD191" s="25"/>
      <c r="CT191" s="25"/>
      <c r="DJ191" s="25"/>
      <c r="DZ191" s="25"/>
    </row>
    <row r="192" spans="2:130" x14ac:dyDescent="0.25">
      <c r="B192" s="742"/>
      <c r="C192" s="8"/>
      <c r="E192" s="53"/>
      <c r="F192" s="53"/>
      <c r="G192" s="8"/>
      <c r="H192" s="53"/>
      <c r="I192" s="53"/>
      <c r="J192" s="8"/>
      <c r="K192" s="53"/>
      <c r="L192" s="53"/>
      <c r="M192" s="8"/>
      <c r="N192" s="53"/>
      <c r="O192" s="53"/>
      <c r="P192" s="53"/>
      <c r="R192" s="742"/>
      <c r="W192" s="53"/>
      <c r="AH192" s="53"/>
      <c r="AX192" s="53"/>
      <c r="BN192" s="53"/>
      <c r="CD192" s="53"/>
      <c r="CT192" s="53"/>
      <c r="DJ192" s="53"/>
      <c r="DZ192" s="53"/>
    </row>
    <row r="193" spans="2:130" x14ac:dyDescent="0.25">
      <c r="B193" s="742"/>
      <c r="C193" s="8"/>
      <c r="E193" s="53"/>
      <c r="F193" s="53"/>
      <c r="G193" s="8"/>
      <c r="H193" s="53"/>
      <c r="I193" s="53"/>
      <c r="J193" s="8"/>
      <c r="K193" s="53"/>
      <c r="L193" s="53"/>
      <c r="M193" s="8"/>
      <c r="N193" s="53"/>
      <c r="O193" s="53"/>
      <c r="P193" s="53"/>
      <c r="R193" s="742"/>
      <c r="W193" s="53"/>
      <c r="AH193" s="53"/>
      <c r="AX193" s="53"/>
      <c r="BN193" s="53"/>
      <c r="CD193" s="53"/>
      <c r="CT193" s="53"/>
      <c r="DJ193" s="53"/>
      <c r="DZ193" s="53"/>
    </row>
  </sheetData>
  <mergeCells count="55">
    <mergeCell ref="CM1:CR1"/>
    <mergeCell ref="DC1:DH1"/>
    <mergeCell ref="DS1:DX1"/>
    <mergeCell ref="CM3:CO3"/>
    <mergeCell ref="CM36:CO36"/>
    <mergeCell ref="DS3:DU3"/>
    <mergeCell ref="DK1:DR1"/>
    <mergeCell ref="CU1:DB1"/>
    <mergeCell ref="CU2:DB2"/>
    <mergeCell ref="CE1:CL1"/>
    <mergeCell ref="CE2:CL2"/>
    <mergeCell ref="BO1:BV1"/>
    <mergeCell ref="BO2:BV2"/>
    <mergeCell ref="BW3:BY3"/>
    <mergeCell ref="EM1:EN2"/>
    <mergeCell ref="DY1:EK1"/>
    <mergeCell ref="DY2:EK2"/>
    <mergeCell ref="DC3:DE3"/>
    <mergeCell ref="DC36:DE36"/>
    <mergeCell ref="DS36:DU36"/>
    <mergeCell ref="DK2:DR2"/>
    <mergeCell ref="B168:C168"/>
    <mergeCell ref="B115:C115"/>
    <mergeCell ref="B142:C142"/>
    <mergeCell ref="J142:M142"/>
    <mergeCell ref="B143:C143"/>
    <mergeCell ref="B167:C167"/>
    <mergeCell ref="J167:M167"/>
    <mergeCell ref="B114:C114"/>
    <mergeCell ref="J114:M114"/>
    <mergeCell ref="B90:C90"/>
    <mergeCell ref="B89:C89"/>
    <mergeCell ref="J89:M89"/>
    <mergeCell ref="C1:I1"/>
    <mergeCell ref="C2:I2"/>
    <mergeCell ref="AA3:AB3"/>
    <mergeCell ref="AA36:AB36"/>
    <mergeCell ref="J3:M3"/>
    <mergeCell ref="J36:M36"/>
    <mergeCell ref="S1:Z1"/>
    <mergeCell ref="S2:Z2"/>
    <mergeCell ref="AA1:AF1"/>
    <mergeCell ref="K1:P1"/>
    <mergeCell ref="AI1:AP1"/>
    <mergeCell ref="AI2:AP2"/>
    <mergeCell ref="AQ3:AS3"/>
    <mergeCell ref="AQ36:AS36"/>
    <mergeCell ref="BW1:CB1"/>
    <mergeCell ref="BG3:BI3"/>
    <mergeCell ref="BG36:BI36"/>
    <mergeCell ref="BG1:BL1"/>
    <mergeCell ref="AQ1:AV1"/>
    <mergeCell ref="BW36:BY36"/>
    <mergeCell ref="AY1:BF1"/>
    <mergeCell ref="AY2:BF2"/>
  </mergeCells>
  <phoneticPr fontId="3" type="noConversion"/>
  <printOptions horizontalCentered="1"/>
  <pageMargins left="0.27559055118110237" right="0.19685039370078741" top="0.35433070866141736" bottom="0.55118110236220474" header="0.31496062992125984" footer="0.31496062992125984"/>
  <pageSetup paperSize="9" scale="60" fitToWidth="7" orientation="portrait" r:id="rId1"/>
  <colBreaks count="7" manualBreakCount="7">
    <brk id="16" max="62" man="1"/>
    <brk id="32" max="62" man="1"/>
    <brk id="48" max="62" man="1"/>
    <brk id="64" max="62" man="1"/>
    <brk id="80" max="62" man="1"/>
    <brk id="96" max="62" man="1"/>
    <brk id="112" max="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</sheetPr>
  <dimension ref="A1:O49"/>
  <sheetViews>
    <sheetView view="pageBreakPreview" zoomScale="115" zoomScaleNormal="100" zoomScaleSheetLayoutView="115" workbookViewId="0">
      <selection activeCell="E23" sqref="E23"/>
    </sheetView>
  </sheetViews>
  <sheetFormatPr defaultRowHeight="15" x14ac:dyDescent="0.25"/>
  <cols>
    <col min="1" max="1" width="8.85546875" style="181"/>
    <col min="2" max="2" width="6" style="181" customWidth="1"/>
    <col min="3" max="3" width="29.7109375" style="181" bestFit="1" customWidth="1"/>
    <col min="4" max="5" width="11.140625" style="181" customWidth="1"/>
    <col min="6" max="8" width="9.140625" style="181" customWidth="1"/>
    <col min="9" max="9" width="5.28515625" style="181" customWidth="1"/>
    <col min="10" max="10" width="14.7109375" style="181" customWidth="1"/>
    <col min="11" max="11" width="10.28515625" customWidth="1"/>
    <col min="12" max="12" width="34.7109375" customWidth="1"/>
    <col min="13" max="13" width="17" customWidth="1"/>
    <col min="14" max="14" width="18.28515625" customWidth="1"/>
    <col min="15" max="15" width="17.7109375" customWidth="1"/>
    <col min="16" max="16" width="35.7109375" customWidth="1"/>
    <col min="17" max="17" width="19" customWidth="1"/>
    <col min="18" max="18" width="16.28515625" customWidth="1"/>
    <col min="19" max="19" width="14.7109375" customWidth="1"/>
    <col min="20" max="20" width="17.42578125" customWidth="1"/>
    <col min="21" max="22" width="14.42578125" bestFit="1" customWidth="1"/>
    <col min="23" max="25" width="11.7109375" bestFit="1" customWidth="1"/>
    <col min="26" max="26" width="14.42578125" bestFit="1" customWidth="1"/>
  </cols>
  <sheetData>
    <row r="1" spans="1:15" ht="15" customHeight="1" x14ac:dyDescent="0.25">
      <c r="D1" s="496"/>
      <c r="E1" s="496"/>
      <c r="G1" s="904" t="s">
        <v>502</v>
      </c>
      <c r="H1" s="904"/>
      <c r="I1" s="904"/>
      <c r="J1" s="500"/>
      <c r="N1" s="873" t="s">
        <v>503</v>
      </c>
      <c r="O1" s="903"/>
    </row>
    <row r="2" spans="1:15" ht="21" customHeight="1" x14ac:dyDescent="0.25">
      <c r="A2" s="481" t="s">
        <v>527</v>
      </c>
      <c r="C2" s="496"/>
      <c r="D2" s="496"/>
      <c r="E2" s="496"/>
      <c r="F2" s="511"/>
      <c r="G2" s="904"/>
      <c r="H2" s="904"/>
      <c r="I2" s="904"/>
      <c r="J2" s="481" t="s">
        <v>528</v>
      </c>
      <c r="L2" s="905" t="s">
        <v>394</v>
      </c>
      <c r="M2" s="905"/>
      <c r="N2" s="903"/>
      <c r="O2" s="903"/>
    </row>
    <row r="3" spans="1:15" ht="24.75" customHeight="1" x14ac:dyDescent="0.25">
      <c r="B3" s="909" t="s">
        <v>333</v>
      </c>
      <c r="C3" s="909"/>
      <c r="D3" s="909"/>
      <c r="E3" s="909"/>
      <c r="F3" s="909"/>
      <c r="G3" s="909"/>
      <c r="H3" s="909"/>
      <c r="I3" s="909"/>
      <c r="J3" s="479"/>
      <c r="K3" s="512"/>
      <c r="L3" s="512"/>
      <c r="M3" s="512"/>
      <c r="N3" s="903"/>
      <c r="O3" s="903"/>
    </row>
    <row r="4" spans="1:15" x14ac:dyDescent="0.25">
      <c r="D4" s="497"/>
      <c r="E4" s="463"/>
      <c r="I4" s="542" t="s">
        <v>400</v>
      </c>
      <c r="J4" s="163"/>
      <c r="O4" s="51" t="s">
        <v>400</v>
      </c>
    </row>
    <row r="5" spans="1:15" ht="30" customHeight="1" x14ac:dyDescent="0.25">
      <c r="B5" s="130" t="s">
        <v>45</v>
      </c>
      <c r="C5" s="486" t="s">
        <v>46</v>
      </c>
      <c r="D5" s="456" t="s">
        <v>342</v>
      </c>
      <c r="E5" s="456" t="s">
        <v>430</v>
      </c>
      <c r="F5" s="906" t="s">
        <v>48</v>
      </c>
      <c r="G5" s="907"/>
      <c r="H5" s="907"/>
      <c r="I5" s="908"/>
      <c r="J5" s="513"/>
      <c r="K5" s="130" t="s">
        <v>45</v>
      </c>
      <c r="L5" s="130" t="s">
        <v>46</v>
      </c>
      <c r="M5" s="130" t="s">
        <v>35</v>
      </c>
      <c r="N5" s="130" t="s">
        <v>36</v>
      </c>
      <c r="O5" s="130" t="s">
        <v>37</v>
      </c>
    </row>
    <row r="6" spans="1:15" x14ac:dyDescent="0.25">
      <c r="B6" s="23" t="s">
        <v>12</v>
      </c>
      <c r="C6" s="492" t="s">
        <v>50</v>
      </c>
      <c r="D6" s="457">
        <v>0</v>
      </c>
      <c r="E6" s="457"/>
      <c r="F6" s="490"/>
      <c r="G6" s="491"/>
      <c r="H6" s="491"/>
      <c r="I6" s="532"/>
      <c r="J6" s="514"/>
      <c r="K6" s="158" t="s">
        <v>12</v>
      </c>
      <c r="L6" s="140" t="s">
        <v>433</v>
      </c>
      <c r="M6" s="144">
        <v>46152000</v>
      </c>
      <c r="N6" s="144">
        <v>10672340</v>
      </c>
      <c r="O6" s="144">
        <f>SUM(M6:N6)</f>
        <v>56824340</v>
      </c>
    </row>
    <row r="7" spans="1:15" ht="22.5" customHeight="1" x14ac:dyDescent="0.25">
      <c r="B7" s="140"/>
      <c r="C7" s="185"/>
      <c r="D7" s="457">
        <v>0</v>
      </c>
      <c r="E7" s="459"/>
      <c r="F7" s="490"/>
      <c r="G7" s="491"/>
      <c r="H7" s="491"/>
      <c r="I7" s="532"/>
      <c r="J7" s="514"/>
      <c r="K7" s="158" t="s">
        <v>13</v>
      </c>
      <c r="L7" s="140" t="s">
        <v>432</v>
      </c>
      <c r="M7" s="144">
        <v>0</v>
      </c>
      <c r="N7" s="144">
        <v>2120250</v>
      </c>
      <c r="O7" s="144">
        <f>SUM(M7:N7)</f>
        <v>2120250</v>
      </c>
    </row>
    <row r="8" spans="1:15" x14ac:dyDescent="0.25">
      <c r="B8" s="487"/>
      <c r="C8" s="488"/>
      <c r="D8" s="488"/>
      <c r="E8" s="488"/>
      <c r="F8" s="488"/>
      <c r="G8" s="488"/>
      <c r="H8" s="488"/>
      <c r="I8" s="533"/>
      <c r="J8" s="163"/>
      <c r="K8" s="158"/>
      <c r="L8" s="140"/>
      <c r="M8" s="144"/>
      <c r="N8" s="144"/>
      <c r="O8" s="144"/>
    </row>
    <row r="9" spans="1:15" x14ac:dyDescent="0.25">
      <c r="B9" s="23" t="s">
        <v>13</v>
      </c>
      <c r="C9" s="489" t="s">
        <v>217</v>
      </c>
      <c r="D9" s="459">
        <v>5000000</v>
      </c>
      <c r="E9" s="458">
        <v>0</v>
      </c>
      <c r="F9" s="894"/>
      <c r="G9" s="895"/>
      <c r="H9" s="895"/>
      <c r="I9" s="896"/>
      <c r="J9" s="514"/>
      <c r="K9" s="158"/>
      <c r="L9" s="140"/>
      <c r="M9" s="144"/>
      <c r="N9" s="144"/>
      <c r="O9" s="144"/>
    </row>
    <row r="10" spans="1:15" x14ac:dyDescent="0.25">
      <c r="B10" s="487"/>
      <c r="C10" s="488"/>
      <c r="D10" s="488"/>
      <c r="E10" s="488"/>
      <c r="F10" s="488"/>
      <c r="G10" s="488"/>
      <c r="H10" s="488"/>
      <c r="I10" s="533"/>
      <c r="J10" s="163"/>
      <c r="K10" s="158"/>
      <c r="L10" s="140"/>
      <c r="M10" s="144"/>
      <c r="N10" s="144"/>
      <c r="O10" s="144"/>
    </row>
    <row r="11" spans="1:15" x14ac:dyDescent="0.25">
      <c r="B11" s="23" t="s">
        <v>14</v>
      </c>
      <c r="C11" s="489" t="s">
        <v>216</v>
      </c>
      <c r="D11" s="459">
        <v>7000000</v>
      </c>
      <c r="E11" s="458">
        <v>7000000</v>
      </c>
      <c r="F11" s="894"/>
      <c r="G11" s="895"/>
      <c r="H11" s="895"/>
      <c r="I11" s="896"/>
      <c r="J11" s="514"/>
      <c r="K11" s="158" t="s">
        <v>53</v>
      </c>
      <c r="L11" s="140"/>
      <c r="M11" s="144"/>
      <c r="N11" s="144"/>
      <c r="O11" s="144"/>
    </row>
    <row r="12" spans="1:15" x14ac:dyDescent="0.25">
      <c r="B12" s="487"/>
      <c r="C12" s="488"/>
      <c r="D12" s="488"/>
      <c r="E12" s="488"/>
      <c r="F12" s="488"/>
      <c r="G12" s="488"/>
      <c r="H12" s="488"/>
      <c r="I12" s="533"/>
      <c r="J12" s="163"/>
      <c r="K12" s="23"/>
      <c r="L12" s="515" t="s">
        <v>0</v>
      </c>
      <c r="M12" s="139">
        <f>SUM(M6:M11)</f>
        <v>46152000</v>
      </c>
      <c r="N12" s="139">
        <f>SUM(N6:N11)</f>
        <v>12792590</v>
      </c>
      <c r="O12" s="139">
        <f>SUM(O6:O11)</f>
        <v>58944590</v>
      </c>
    </row>
    <row r="13" spans="1:15" x14ac:dyDescent="0.25">
      <c r="B13" s="23" t="s">
        <v>15</v>
      </c>
      <c r="C13" s="483" t="s">
        <v>51</v>
      </c>
      <c r="D13" s="457">
        <v>15000000</v>
      </c>
      <c r="E13" s="459">
        <v>4000000</v>
      </c>
      <c r="F13" s="894"/>
      <c r="G13" s="895"/>
      <c r="H13" s="895"/>
      <c r="I13" s="896"/>
      <c r="J13" s="514"/>
      <c r="K13" s="463"/>
      <c r="L13" s="38"/>
      <c r="M13" s="46"/>
      <c r="N13" s="46"/>
      <c r="O13" s="46"/>
    </row>
    <row r="14" spans="1:15" x14ac:dyDescent="0.25">
      <c r="B14" s="493"/>
      <c r="C14" s="494"/>
      <c r="D14" s="494"/>
      <c r="E14" s="494"/>
      <c r="F14" s="494"/>
      <c r="G14" s="494"/>
      <c r="H14" s="494"/>
      <c r="I14" s="495"/>
      <c r="J14" s="464"/>
    </row>
    <row r="15" spans="1:15" x14ac:dyDescent="0.25">
      <c r="B15" s="23" t="s">
        <v>16</v>
      </c>
      <c r="C15" s="483" t="s">
        <v>221</v>
      </c>
      <c r="D15" s="457">
        <f>SUM(D16:D23)</f>
        <v>87000000</v>
      </c>
      <c r="E15" s="459">
        <f>SUM(E16:E23)</f>
        <v>25044320</v>
      </c>
      <c r="F15" s="894"/>
      <c r="G15" s="895"/>
      <c r="H15" s="895"/>
      <c r="I15" s="896"/>
      <c r="J15" s="68"/>
    </row>
    <row r="16" spans="1:15" x14ac:dyDescent="0.25">
      <c r="B16" s="111"/>
      <c r="C16" s="484" t="s">
        <v>298</v>
      </c>
      <c r="D16" s="277">
        <v>33000000</v>
      </c>
      <c r="E16" s="455">
        <v>9326722</v>
      </c>
      <c r="F16" s="894"/>
      <c r="G16" s="895"/>
      <c r="H16" s="895"/>
      <c r="I16" s="896"/>
      <c r="J16" s="68"/>
    </row>
    <row r="17" spans="2:15" x14ac:dyDescent="0.25">
      <c r="B17" s="111"/>
      <c r="C17" s="484" t="s">
        <v>292</v>
      </c>
      <c r="D17" s="485">
        <v>24000000</v>
      </c>
      <c r="E17" s="251">
        <v>1717598</v>
      </c>
      <c r="F17" s="894"/>
      <c r="G17" s="895"/>
      <c r="H17" s="895"/>
      <c r="I17" s="896"/>
      <c r="J17" s="68"/>
      <c r="O17" s="89"/>
    </row>
    <row r="18" spans="2:15" x14ac:dyDescent="0.25">
      <c r="B18" s="111"/>
      <c r="C18" s="484" t="s">
        <v>293</v>
      </c>
      <c r="D18" s="485">
        <v>2000000</v>
      </c>
      <c r="E18" s="251">
        <v>2000000</v>
      </c>
      <c r="F18" s="894"/>
      <c r="G18" s="895"/>
      <c r="H18" s="895"/>
      <c r="I18" s="896"/>
      <c r="J18" s="68"/>
      <c r="O18" s="86"/>
    </row>
    <row r="19" spans="2:15" x14ac:dyDescent="0.25">
      <c r="B19" s="534"/>
      <c r="C19" s="484" t="s">
        <v>300</v>
      </c>
      <c r="D19" s="485">
        <v>5000000</v>
      </c>
      <c r="E19" s="251">
        <v>0</v>
      </c>
      <c r="F19" s="900"/>
      <c r="G19" s="901"/>
      <c r="H19" s="901"/>
      <c r="I19" s="902"/>
      <c r="J19" s="53"/>
    </row>
    <row r="20" spans="2:15" x14ac:dyDescent="0.25">
      <c r="B20" s="152"/>
      <c r="C20" s="484" t="s">
        <v>301</v>
      </c>
      <c r="D20" s="485">
        <v>6000000</v>
      </c>
      <c r="E20" s="251">
        <v>0</v>
      </c>
      <c r="F20" s="894"/>
      <c r="G20" s="895"/>
      <c r="H20" s="895"/>
      <c r="I20" s="896"/>
      <c r="J20" s="68"/>
    </row>
    <row r="21" spans="2:15" x14ac:dyDescent="0.25">
      <c r="B21" s="152"/>
      <c r="C21" s="484" t="s">
        <v>218</v>
      </c>
      <c r="D21" s="485">
        <v>3000000</v>
      </c>
      <c r="E21" s="251">
        <v>3000000</v>
      </c>
      <c r="F21" s="894"/>
      <c r="G21" s="895"/>
      <c r="H21" s="895"/>
      <c r="I21" s="896"/>
      <c r="J21" s="68"/>
    </row>
    <row r="22" spans="2:15" x14ac:dyDescent="0.25">
      <c r="B22" s="169"/>
      <c r="C22" s="234" t="s">
        <v>219</v>
      </c>
      <c r="D22" s="485">
        <v>5000000</v>
      </c>
      <c r="E22" s="251">
        <v>0</v>
      </c>
      <c r="F22" s="894"/>
      <c r="G22" s="895"/>
      <c r="H22" s="895"/>
      <c r="I22" s="896"/>
      <c r="J22" s="68"/>
    </row>
    <row r="23" spans="2:15" x14ac:dyDescent="0.25">
      <c r="B23" s="169"/>
      <c r="C23" s="234" t="s">
        <v>274</v>
      </c>
      <c r="D23" s="485">
        <v>9000000</v>
      </c>
      <c r="E23" s="820">
        <v>9000000</v>
      </c>
      <c r="F23" s="894"/>
      <c r="G23" s="895"/>
      <c r="H23" s="895"/>
      <c r="I23" s="896"/>
      <c r="J23" s="68"/>
    </row>
    <row r="24" spans="2:15" x14ac:dyDescent="0.25">
      <c r="B24" s="1"/>
      <c r="C24" s="499" t="s">
        <v>52</v>
      </c>
      <c r="D24" s="498">
        <f>+D6+D13+D15+D9+D11</f>
        <v>114000000</v>
      </c>
      <c r="E24" s="688">
        <f>+E6+E13+E15+E9+E11</f>
        <v>36044320</v>
      </c>
      <c r="F24" s="897"/>
      <c r="G24" s="898"/>
      <c r="H24" s="898"/>
      <c r="I24" s="899"/>
      <c r="J24" s="68"/>
    </row>
    <row r="25" spans="2:15" x14ac:dyDescent="0.25">
      <c r="B25" s="38"/>
      <c r="C25" s="163"/>
      <c r="D25" s="163"/>
      <c r="E25" s="462"/>
      <c r="F25" s="461"/>
      <c r="G25" s="461"/>
      <c r="H25" s="461"/>
      <c r="I25" s="461"/>
      <c r="J25" s="461"/>
    </row>
    <row r="26" spans="2:15" x14ac:dyDescent="0.25">
      <c r="B26" s="38"/>
      <c r="C26" s="163"/>
      <c r="D26" s="461"/>
      <c r="E26" s="461"/>
      <c r="F26" s="461"/>
      <c r="G26" s="461"/>
      <c r="H26" s="461"/>
      <c r="I26" s="461"/>
      <c r="J26" s="461"/>
    </row>
    <row r="27" spans="2:15" ht="24" customHeight="1" x14ac:dyDescent="0.25">
      <c r="B27" s="38"/>
      <c r="C27" s="163"/>
      <c r="D27" s="461"/>
      <c r="E27" s="461"/>
      <c r="F27" s="461"/>
      <c r="G27" s="461"/>
      <c r="H27" s="461"/>
      <c r="I27" s="461"/>
      <c r="J27" s="461"/>
    </row>
    <row r="28" spans="2:15" x14ac:dyDescent="0.25">
      <c r="B28" s="38"/>
      <c r="C28" s="163"/>
      <c r="D28" s="461"/>
      <c r="E28" s="461"/>
      <c r="F28" s="461"/>
      <c r="G28" s="461"/>
      <c r="H28" s="461"/>
      <c r="I28" s="461"/>
      <c r="J28" s="461"/>
    </row>
    <row r="29" spans="2:15" x14ac:dyDescent="0.25">
      <c r="B29" s="38"/>
      <c r="C29" s="163"/>
      <c r="D29" s="461"/>
      <c r="E29" s="461"/>
      <c r="F29" s="461"/>
      <c r="G29" s="461"/>
      <c r="H29" s="461"/>
      <c r="I29" s="461"/>
      <c r="J29" s="461"/>
    </row>
    <row r="30" spans="2:15" x14ac:dyDescent="0.25">
      <c r="B30" s="53"/>
      <c r="C30" s="163"/>
      <c r="D30" s="461"/>
      <c r="E30" s="461"/>
      <c r="F30" s="53"/>
      <c r="G30" s="53"/>
      <c r="H30" s="53"/>
      <c r="I30" s="53"/>
      <c r="J30" s="53"/>
    </row>
    <row r="31" spans="2:15" x14ac:dyDescent="0.25">
      <c r="B31" s="53"/>
      <c r="C31" s="163"/>
      <c r="D31" s="461"/>
      <c r="E31" s="461"/>
      <c r="F31" s="53"/>
      <c r="G31" s="454"/>
      <c r="H31" s="53"/>
      <c r="I31" s="53"/>
      <c r="J31" s="53"/>
    </row>
    <row r="32" spans="2:15" x14ac:dyDescent="0.25">
      <c r="B32" s="53"/>
      <c r="C32" s="53"/>
      <c r="D32" s="53"/>
      <c r="E32" s="53"/>
      <c r="F32" s="53"/>
      <c r="G32" s="163"/>
      <c r="H32" s="163"/>
      <c r="I32" s="163"/>
      <c r="J32" s="163"/>
    </row>
    <row r="33" spans="2:12" x14ac:dyDescent="0.25">
      <c r="B33" s="53"/>
      <c r="C33" s="453"/>
      <c r="D33" s="53"/>
      <c r="E33" s="53"/>
      <c r="F33" s="132"/>
      <c r="G33" s="132"/>
      <c r="H33" s="53"/>
      <c r="I33" s="53"/>
      <c r="J33" s="53"/>
    </row>
    <row r="34" spans="2:12" x14ac:dyDescent="0.25">
      <c r="B34" s="132"/>
      <c r="C34" s="53"/>
      <c r="D34" s="53"/>
      <c r="E34" s="53"/>
      <c r="F34" s="53"/>
      <c r="G34" s="53"/>
      <c r="H34" s="53"/>
      <c r="I34" s="53"/>
      <c r="J34" s="53"/>
      <c r="K34" s="26"/>
      <c r="L34" s="8"/>
    </row>
    <row r="35" spans="2:12" x14ac:dyDescent="0.25">
      <c r="B35" s="55"/>
      <c r="C35" s="132"/>
      <c r="D35" s="132"/>
      <c r="E35" s="132"/>
      <c r="F35" s="38"/>
      <c r="G35" s="163"/>
      <c r="H35" s="464"/>
      <c r="I35" s="464"/>
      <c r="J35" s="464"/>
      <c r="K35" s="8"/>
      <c r="L35" s="8"/>
    </row>
    <row r="36" spans="2:12" x14ac:dyDescent="0.25">
      <c r="B36" s="38"/>
      <c r="C36" s="55"/>
      <c r="D36" s="53"/>
      <c r="E36" s="53"/>
      <c r="F36" s="462"/>
      <c r="G36" s="462"/>
      <c r="H36" s="57"/>
      <c r="I36" s="57"/>
      <c r="J36" s="57"/>
    </row>
    <row r="37" spans="2:12" x14ac:dyDescent="0.25">
      <c r="B37" s="462"/>
      <c r="C37" s="38"/>
      <c r="D37" s="38"/>
      <c r="E37" s="38"/>
      <c r="F37" s="46"/>
      <c r="G37" s="46"/>
      <c r="H37" s="46"/>
      <c r="I37" s="46"/>
      <c r="J37" s="46"/>
    </row>
    <row r="38" spans="2:12" x14ac:dyDescent="0.25">
      <c r="B38" s="462"/>
      <c r="C38" s="462"/>
      <c r="D38" s="462"/>
      <c r="E38" s="462"/>
      <c r="F38" s="46"/>
      <c r="G38" s="46"/>
      <c r="H38" s="46"/>
      <c r="I38" s="46"/>
      <c r="J38" s="46"/>
    </row>
    <row r="39" spans="2:12" x14ac:dyDescent="0.25">
      <c r="B39" s="462"/>
      <c r="C39" s="38"/>
      <c r="D39" s="46"/>
      <c r="E39" s="46"/>
      <c r="F39" s="46"/>
      <c r="G39" s="46"/>
      <c r="H39" s="46"/>
      <c r="I39" s="46"/>
      <c r="J39" s="46"/>
    </row>
    <row r="40" spans="2:12" x14ac:dyDescent="0.25">
      <c r="B40" s="462"/>
      <c r="C40" s="38"/>
      <c r="D40" s="46"/>
      <c r="E40" s="46"/>
      <c r="F40" s="46"/>
      <c r="G40" s="46"/>
      <c r="H40" s="46"/>
      <c r="I40" s="46"/>
      <c r="J40" s="46"/>
    </row>
    <row r="41" spans="2:12" x14ac:dyDescent="0.25">
      <c r="B41" s="462"/>
      <c r="C41" s="38"/>
      <c r="D41" s="46"/>
      <c r="E41" s="46"/>
      <c r="F41" s="46"/>
      <c r="G41" s="46"/>
      <c r="H41" s="46"/>
      <c r="I41" s="46"/>
      <c r="J41" s="46"/>
    </row>
    <row r="42" spans="2:12" x14ac:dyDescent="0.25">
      <c r="B42" s="462"/>
      <c r="C42" s="38"/>
      <c r="D42" s="46"/>
      <c r="E42" s="46"/>
      <c r="F42" s="46"/>
      <c r="G42" s="46"/>
      <c r="H42" s="46"/>
      <c r="I42" s="46"/>
      <c r="J42" s="46"/>
    </row>
    <row r="43" spans="2:12" x14ac:dyDescent="0.25">
      <c r="B43" s="462"/>
      <c r="C43" s="38"/>
      <c r="D43" s="46"/>
      <c r="E43" s="46"/>
      <c r="F43" s="46"/>
      <c r="G43" s="46"/>
      <c r="H43" s="46"/>
      <c r="I43" s="46"/>
      <c r="J43" s="46"/>
    </row>
    <row r="44" spans="2:12" x14ac:dyDescent="0.25">
      <c r="B44" s="462"/>
      <c r="C44" s="38"/>
      <c r="D44" s="46"/>
      <c r="E44" s="46"/>
      <c r="F44" s="44"/>
      <c r="G44" s="44"/>
      <c r="H44" s="44"/>
      <c r="I44" s="44"/>
      <c r="J44" s="44"/>
    </row>
    <row r="45" spans="2:12" x14ac:dyDescent="0.25">
      <c r="B45" s="462"/>
      <c r="C45" s="38"/>
      <c r="D45" s="46"/>
      <c r="E45" s="46"/>
      <c r="F45" s="38"/>
      <c r="G45" s="38"/>
      <c r="H45" s="53"/>
      <c r="I45" s="53"/>
      <c r="J45" s="53"/>
    </row>
    <row r="46" spans="2:12" x14ac:dyDescent="0.25">
      <c r="B46" s="38"/>
      <c r="C46" s="58"/>
      <c r="D46" s="44"/>
      <c r="E46" s="44"/>
      <c r="F46" s="38"/>
      <c r="G46" s="38"/>
      <c r="H46" s="53"/>
      <c r="I46" s="53"/>
      <c r="J46" s="53"/>
    </row>
    <row r="47" spans="2:12" x14ac:dyDescent="0.25">
      <c r="B47" s="38"/>
      <c r="C47" s="38"/>
      <c r="D47" s="38"/>
      <c r="E47" s="38"/>
      <c r="F47" s="38"/>
      <c r="G47" s="38"/>
      <c r="H47" s="53"/>
      <c r="I47" s="53"/>
      <c r="J47" s="53"/>
    </row>
    <row r="48" spans="2:12" x14ac:dyDescent="0.25">
      <c r="B48" s="38"/>
      <c r="C48" s="38"/>
      <c r="D48" s="38"/>
      <c r="E48" s="38"/>
    </row>
    <row r="49" spans="3:5" x14ac:dyDescent="0.25">
      <c r="C49" s="38"/>
      <c r="D49" s="38"/>
      <c r="E49" s="38"/>
    </row>
  </sheetData>
  <mergeCells count="18">
    <mergeCell ref="N1:O3"/>
    <mergeCell ref="G1:I2"/>
    <mergeCell ref="L2:M2"/>
    <mergeCell ref="F5:I5"/>
    <mergeCell ref="B3:I3"/>
    <mergeCell ref="F11:I11"/>
    <mergeCell ref="F9:I9"/>
    <mergeCell ref="F13:I13"/>
    <mergeCell ref="F15:I15"/>
    <mergeCell ref="F16:I16"/>
    <mergeCell ref="F22:I22"/>
    <mergeCell ref="F23:I23"/>
    <mergeCell ref="F24:I24"/>
    <mergeCell ref="F17:I17"/>
    <mergeCell ref="F18:I18"/>
    <mergeCell ref="F19:I19"/>
    <mergeCell ref="F20:I20"/>
    <mergeCell ref="F21:I21"/>
  </mergeCells>
  <phoneticPr fontId="3" type="noConversion"/>
  <printOptions horizontalCentered="1"/>
  <pageMargins left="0.39370078740157483" right="0.43307086614173229" top="0.51181102362204722" bottom="0.98425196850393704" header="0.51181102362204722" footer="0.51181102362204722"/>
  <pageSetup paperSize="9" scale="80" orientation="portrait" r:id="rId1"/>
  <headerFooter alignWithMargins="0"/>
  <colBreaks count="2" manualBreakCount="2">
    <brk id="9" max="30" man="1"/>
    <brk id="15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-0.249977111117893"/>
    <pageSetUpPr fitToPage="1"/>
  </sheetPr>
  <dimension ref="A1:L30"/>
  <sheetViews>
    <sheetView view="pageBreakPreview" zoomScale="85" zoomScaleNormal="100" zoomScaleSheetLayoutView="85" workbookViewId="0">
      <selection activeCell="J34" sqref="J34"/>
    </sheetView>
  </sheetViews>
  <sheetFormatPr defaultRowHeight="15" x14ac:dyDescent="0.25"/>
  <cols>
    <col min="1" max="1" width="34.28515625" bestFit="1" customWidth="1"/>
    <col min="2" max="2" width="9.5703125" bestFit="1" customWidth="1"/>
    <col min="3" max="3" width="18.28515625" bestFit="1" customWidth="1"/>
    <col min="4" max="10" width="15.7109375" bestFit="1" customWidth="1"/>
    <col min="11" max="11" width="15.7109375" customWidth="1"/>
    <col min="12" max="12" width="15.7109375" bestFit="1" customWidth="1"/>
  </cols>
  <sheetData>
    <row r="1" spans="1:12" ht="15.6" customHeight="1" x14ac:dyDescent="0.25">
      <c r="A1" s="181"/>
      <c r="B1" s="181"/>
      <c r="C1" s="181"/>
      <c r="D1" s="181"/>
      <c r="E1" s="181"/>
      <c r="F1" s="181"/>
      <c r="G1" s="181"/>
      <c r="I1" s="182"/>
      <c r="J1" s="873" t="s">
        <v>504</v>
      </c>
      <c r="K1" s="873"/>
      <c r="L1" s="873"/>
    </row>
    <row r="2" spans="1:12" x14ac:dyDescent="0.25">
      <c r="A2" s="442" t="s">
        <v>529</v>
      </c>
      <c r="B2" s="460"/>
      <c r="C2" s="460"/>
      <c r="D2" s="919" t="s">
        <v>1</v>
      </c>
      <c r="E2" s="919"/>
      <c r="F2" s="919"/>
      <c r="G2" s="919"/>
      <c r="H2" s="919"/>
      <c r="I2" s="182"/>
      <c r="J2" s="873"/>
      <c r="K2" s="873"/>
      <c r="L2" s="873"/>
    </row>
    <row r="3" spans="1:12" x14ac:dyDescent="0.25">
      <c r="A3" s="181"/>
      <c r="B3" s="181"/>
      <c r="C3" s="181"/>
      <c r="D3" s="181"/>
      <c r="E3" s="181"/>
      <c r="F3" s="181"/>
      <c r="G3" s="181"/>
      <c r="H3" s="182"/>
      <c r="I3" s="182"/>
      <c r="J3" s="182"/>
      <c r="K3" s="181"/>
      <c r="L3" s="181"/>
    </row>
    <row r="4" spans="1:12" x14ac:dyDescent="0.25">
      <c r="A4" s="181"/>
      <c r="B4" s="181"/>
      <c r="C4" s="181"/>
      <c r="D4" s="181"/>
      <c r="E4" s="181"/>
      <c r="F4" s="181"/>
      <c r="G4" s="181"/>
      <c r="H4" s="181"/>
      <c r="I4" s="181"/>
      <c r="J4" s="51" t="s">
        <v>33</v>
      </c>
      <c r="K4" s="51"/>
      <c r="L4" s="181"/>
    </row>
    <row r="5" spans="1:12" ht="24" x14ac:dyDescent="0.25">
      <c r="A5" s="241" t="s">
        <v>31</v>
      </c>
      <c r="B5" s="241" t="s">
        <v>32</v>
      </c>
      <c r="C5" s="242" t="s">
        <v>431</v>
      </c>
      <c r="D5" s="241" t="s">
        <v>302</v>
      </c>
      <c r="E5" s="242" t="s">
        <v>2</v>
      </c>
      <c r="F5" s="242"/>
      <c r="G5" s="241">
        <v>2020</v>
      </c>
      <c r="H5" s="241">
        <v>2021</v>
      </c>
      <c r="I5" s="241">
        <v>2022</v>
      </c>
      <c r="J5" s="241">
        <v>2023</v>
      </c>
      <c r="K5" s="241" t="s">
        <v>392</v>
      </c>
      <c r="L5" s="241" t="s">
        <v>212</v>
      </c>
    </row>
    <row r="6" spans="1:12" ht="14.65" customHeight="1" x14ac:dyDescent="0.25">
      <c r="A6" s="920" t="s">
        <v>12</v>
      </c>
      <c r="B6" s="912" t="s">
        <v>303</v>
      </c>
      <c r="C6" s="914">
        <v>600000000</v>
      </c>
      <c r="D6" s="914">
        <f>600000000-46152000</f>
        <v>553848000</v>
      </c>
      <c r="E6" s="916">
        <v>48213</v>
      </c>
      <c r="F6" s="356" t="s">
        <v>241</v>
      </c>
      <c r="G6" s="84">
        <f>12*3846000</f>
        <v>46152000</v>
      </c>
      <c r="H6" s="84">
        <f>12*3846000</f>
        <v>46152000</v>
      </c>
      <c r="I6" s="84">
        <f>12*3846000</f>
        <v>46152000</v>
      </c>
      <c r="J6" s="84">
        <f>12*3846000</f>
        <v>46152000</v>
      </c>
      <c r="K6" s="84">
        <v>369240000</v>
      </c>
      <c r="L6" s="243">
        <f>SUM(G6:K6)</f>
        <v>553848000</v>
      </c>
    </row>
    <row r="7" spans="1:12" x14ac:dyDescent="0.25">
      <c r="A7" s="921"/>
      <c r="B7" s="913"/>
      <c r="C7" s="915"/>
      <c r="D7" s="915"/>
      <c r="E7" s="917"/>
      <c r="F7" s="355" t="s">
        <v>36</v>
      </c>
      <c r="G7" s="84">
        <v>10672340</v>
      </c>
      <c r="H7" s="84">
        <v>10879054.633333333</v>
      </c>
      <c r="I7" s="84">
        <v>9846788.2333333325</v>
      </c>
      <c r="J7" s="84">
        <v>8814521.833333334</v>
      </c>
      <c r="K7" s="84">
        <v>33354584.266666666</v>
      </c>
      <c r="L7" s="243">
        <f>SUM(G7:K7)</f>
        <v>73567288.966666669</v>
      </c>
    </row>
    <row r="8" spans="1:12" ht="14.45" customHeight="1" x14ac:dyDescent="0.25">
      <c r="A8" s="922" t="s">
        <v>13</v>
      </c>
      <c r="B8" s="912" t="s">
        <v>382</v>
      </c>
      <c r="C8" s="912" t="s">
        <v>215</v>
      </c>
      <c r="D8" s="923">
        <v>350000000</v>
      </c>
      <c r="E8" s="918">
        <v>48213</v>
      </c>
      <c r="F8" s="356" t="s">
        <v>241</v>
      </c>
      <c r="G8" s="84">
        <v>0</v>
      </c>
      <c r="H8" s="84">
        <v>31824000</v>
      </c>
      <c r="I8" s="84">
        <v>31824000</v>
      </c>
      <c r="J8" s="84">
        <v>31824000</v>
      </c>
      <c r="K8" s="84">
        <v>254528000</v>
      </c>
      <c r="L8" s="243">
        <f>SUM(G8:K8)</f>
        <v>350000000</v>
      </c>
    </row>
    <row r="9" spans="1:12" x14ac:dyDescent="0.25">
      <c r="A9" s="922"/>
      <c r="B9" s="913"/>
      <c r="C9" s="913"/>
      <c r="D9" s="923"/>
      <c r="E9" s="918"/>
      <c r="F9" s="355" t="s">
        <v>36</v>
      </c>
      <c r="G9" s="84">
        <v>2120250</v>
      </c>
      <c r="H9" s="84">
        <v>6749841.7799999993</v>
      </c>
      <c r="I9" s="84">
        <v>6109224.6599999992</v>
      </c>
      <c r="J9" s="84">
        <v>5468607.5399999991</v>
      </c>
      <c r="K9" s="84">
        <v>20686643.999999996</v>
      </c>
      <c r="L9" s="243">
        <f>SUM(G9:K9)</f>
        <v>41134567.979999989</v>
      </c>
    </row>
    <row r="10" spans="1:12" x14ac:dyDescent="0.25">
      <c r="A10" s="357"/>
      <c r="B10" s="140"/>
      <c r="C10" s="140"/>
      <c r="D10" s="140"/>
      <c r="E10" s="357"/>
      <c r="F10" s="357"/>
      <c r="G10" s="84"/>
      <c r="H10" s="84"/>
      <c r="I10" s="84"/>
      <c r="J10" s="84"/>
      <c r="K10" s="84"/>
      <c r="L10" s="243"/>
    </row>
    <row r="11" spans="1:12" x14ac:dyDescent="0.25">
      <c r="A11" s="357"/>
      <c r="B11" s="140"/>
      <c r="C11" s="140"/>
      <c r="D11" s="140"/>
      <c r="E11" s="357"/>
      <c r="F11" s="357"/>
      <c r="G11" s="84"/>
      <c r="H11" s="84"/>
      <c r="I11" s="84"/>
      <c r="J11" s="84"/>
      <c r="K11" s="84"/>
      <c r="L11" s="243"/>
    </row>
    <row r="12" spans="1:12" x14ac:dyDescent="0.25">
      <c r="A12" s="357"/>
      <c r="B12" s="244" t="s">
        <v>0</v>
      </c>
      <c r="C12" s="244"/>
      <c r="D12" s="244"/>
      <c r="E12" s="136" t="s">
        <v>215</v>
      </c>
      <c r="F12" s="136"/>
      <c r="G12" s="245">
        <f>SUM(G6:G9)</f>
        <v>58944590</v>
      </c>
      <c r="H12" s="245">
        <f>SUM(H6:H9)</f>
        <v>95604896.413333327</v>
      </c>
      <c r="I12" s="245">
        <f>SUM(I6:I9)</f>
        <v>93932012.893333331</v>
      </c>
      <c r="J12" s="245">
        <f>SUM(J6:J9)</f>
        <v>92259129.373333335</v>
      </c>
      <c r="K12" s="245">
        <f>SUM(K6:K9)</f>
        <v>677809228.26666665</v>
      </c>
      <c r="L12" s="273">
        <f>SUM(G12:K12)</f>
        <v>1018549856.9466667</v>
      </c>
    </row>
    <row r="13" spans="1:12" x14ac:dyDescent="0.25">
      <c r="A13" s="75"/>
      <c r="B13" s="361"/>
      <c r="C13" s="361"/>
      <c r="D13" s="362"/>
      <c r="E13" s="362"/>
      <c r="F13" s="363"/>
      <c r="G13" s="363"/>
      <c r="H13" s="363"/>
      <c r="I13" s="363"/>
      <c r="J13" s="363"/>
      <c r="K13" s="363"/>
      <c r="L13" s="364"/>
    </row>
    <row r="14" spans="1:12" x14ac:dyDescent="0.25">
      <c r="A14" s="181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</row>
    <row r="15" spans="1:12" ht="14.65" customHeight="1" x14ac:dyDescent="0.25">
      <c r="A15" s="910" t="s">
        <v>248</v>
      </c>
      <c r="B15" s="910" t="s">
        <v>249</v>
      </c>
      <c r="C15" s="910" t="s">
        <v>250</v>
      </c>
      <c r="D15" s="911"/>
      <c r="E15" s="911"/>
      <c r="F15" s="260"/>
      <c r="G15" s="260"/>
      <c r="H15" s="260"/>
      <c r="I15" s="260"/>
      <c r="J15" s="260"/>
      <c r="K15" s="260"/>
      <c r="L15" s="354"/>
    </row>
    <row r="16" spans="1:12" x14ac:dyDescent="0.25">
      <c r="A16" s="910"/>
      <c r="B16" s="910"/>
      <c r="C16" s="911"/>
      <c r="D16" s="911"/>
      <c r="E16" s="911"/>
      <c r="F16" s="260"/>
      <c r="G16" s="260"/>
      <c r="H16" s="260"/>
      <c r="I16" s="260"/>
      <c r="J16" s="260"/>
      <c r="K16" s="260"/>
      <c r="L16" s="260"/>
    </row>
    <row r="17" spans="1:12" ht="33.75" x14ac:dyDescent="0.25">
      <c r="A17" s="910"/>
      <c r="B17" s="910"/>
      <c r="C17" s="261" t="s">
        <v>383</v>
      </c>
      <c r="D17" s="261" t="s">
        <v>384</v>
      </c>
      <c r="E17" s="262" t="s">
        <v>385</v>
      </c>
      <c r="F17" s="261" t="s">
        <v>386</v>
      </c>
      <c r="G17" s="261" t="s">
        <v>387</v>
      </c>
      <c r="H17" s="262" t="s">
        <v>388</v>
      </c>
      <c r="I17" s="261" t="s">
        <v>389</v>
      </c>
      <c r="J17" s="261" t="s">
        <v>390</v>
      </c>
      <c r="K17" s="261" t="s">
        <v>391</v>
      </c>
      <c r="L17" s="354" t="s">
        <v>251</v>
      </c>
    </row>
    <row r="18" spans="1:12" x14ac:dyDescent="0.25">
      <c r="A18" s="263" t="s">
        <v>252</v>
      </c>
      <c r="B18" s="264" t="s">
        <v>253</v>
      </c>
      <c r="C18" s="265">
        <v>1049500000</v>
      </c>
      <c r="D18" s="265">
        <v>1049500000</v>
      </c>
      <c r="E18" s="265">
        <v>1049500000</v>
      </c>
      <c r="F18" s="265">
        <v>1049500000</v>
      </c>
      <c r="G18" s="265">
        <v>1049500000</v>
      </c>
      <c r="H18" s="265">
        <v>1049500000</v>
      </c>
      <c r="I18" s="265">
        <v>1049500000</v>
      </c>
      <c r="J18" s="265">
        <v>1049500000</v>
      </c>
      <c r="K18" s="265">
        <f>4*J18</f>
        <v>4198000000</v>
      </c>
      <c r="L18" s="266">
        <f>SUM(C18:K18)</f>
        <v>12594000000</v>
      </c>
    </row>
    <row r="19" spans="1:12" x14ac:dyDescent="0.25">
      <c r="A19" s="263" t="s">
        <v>304</v>
      </c>
      <c r="B19" s="264" t="s">
        <v>255</v>
      </c>
      <c r="C19" s="265">
        <v>40000000</v>
      </c>
      <c r="D19" s="265"/>
      <c r="E19" s="265"/>
      <c r="F19" s="265"/>
      <c r="G19" s="265"/>
      <c r="H19" s="265"/>
      <c r="I19" s="265"/>
      <c r="J19" s="265"/>
      <c r="K19" s="265"/>
      <c r="L19" s="266">
        <f>SUM(C19:K19)</f>
        <v>40000000</v>
      </c>
    </row>
    <row r="20" spans="1:12" ht="27" x14ac:dyDescent="0.25">
      <c r="A20" s="267" t="s">
        <v>254</v>
      </c>
      <c r="B20" s="264" t="s">
        <v>257</v>
      </c>
      <c r="C20" s="265">
        <v>38521437</v>
      </c>
      <c r="D20" s="265">
        <v>15000000</v>
      </c>
      <c r="E20" s="265">
        <v>15000000</v>
      </c>
      <c r="F20" s="265">
        <v>15000000</v>
      </c>
      <c r="G20" s="265">
        <v>15000000</v>
      </c>
      <c r="H20" s="265">
        <v>15000000</v>
      </c>
      <c r="I20" s="265">
        <v>15000000</v>
      </c>
      <c r="J20" s="265">
        <v>15000000</v>
      </c>
      <c r="K20" s="265">
        <f>4*J20</f>
        <v>60000000</v>
      </c>
      <c r="L20" s="266">
        <f>SUM(C20:K20)</f>
        <v>203521437</v>
      </c>
    </row>
    <row r="21" spans="1:12" x14ac:dyDescent="0.25">
      <c r="A21" s="268" t="s">
        <v>256</v>
      </c>
      <c r="B21" s="264" t="s">
        <v>259</v>
      </c>
      <c r="C21" s="265"/>
      <c r="D21" s="265"/>
      <c r="E21" s="260"/>
      <c r="F21" s="260"/>
      <c r="G21" s="260"/>
      <c r="H21" s="260"/>
      <c r="I21" s="260"/>
      <c r="J21" s="260"/>
      <c r="K21" s="260"/>
      <c r="L21" s="266">
        <f>SUM(C21:I21)</f>
        <v>0</v>
      </c>
    </row>
    <row r="22" spans="1:12" ht="18" x14ac:dyDescent="0.25">
      <c r="A22" s="268" t="s">
        <v>258</v>
      </c>
      <c r="B22" s="264" t="s">
        <v>261</v>
      </c>
      <c r="C22" s="265"/>
      <c r="D22" s="265"/>
      <c r="E22" s="260"/>
      <c r="F22" s="260"/>
      <c r="G22" s="260"/>
      <c r="H22" s="260"/>
      <c r="I22" s="260"/>
      <c r="J22" s="260"/>
      <c r="K22" s="260"/>
      <c r="L22" s="266">
        <f>SUM(C22:I22)</f>
        <v>0</v>
      </c>
    </row>
    <row r="23" spans="1:12" x14ac:dyDescent="0.25">
      <c r="A23" s="268" t="s">
        <v>260</v>
      </c>
      <c r="B23" s="264" t="s">
        <v>263</v>
      </c>
      <c r="C23" s="265">
        <v>3200000</v>
      </c>
      <c r="D23" s="265">
        <v>3200000</v>
      </c>
      <c r="E23" s="265">
        <v>3200000</v>
      </c>
      <c r="F23" s="265">
        <v>3200000</v>
      </c>
      <c r="G23" s="265">
        <v>3200000</v>
      </c>
      <c r="H23" s="265">
        <v>3200000</v>
      </c>
      <c r="I23" s="265">
        <v>3200000</v>
      </c>
      <c r="J23" s="265">
        <v>3200000</v>
      </c>
      <c r="K23" s="265">
        <f>4*J23</f>
        <v>12800000</v>
      </c>
      <c r="L23" s="266">
        <f>SUM(C23:K23)</f>
        <v>38400000</v>
      </c>
    </row>
    <row r="24" spans="1:12" x14ac:dyDescent="0.25">
      <c r="A24" s="268" t="s">
        <v>262</v>
      </c>
      <c r="B24" s="264" t="s">
        <v>265</v>
      </c>
      <c r="C24" s="265"/>
      <c r="D24" s="265"/>
      <c r="E24" s="260"/>
      <c r="F24" s="260"/>
      <c r="G24" s="260"/>
      <c r="H24" s="260"/>
      <c r="I24" s="260"/>
      <c r="J24" s="260"/>
      <c r="K24" s="260"/>
      <c r="L24" s="266">
        <f>SUM(C24:I24)</f>
        <v>0</v>
      </c>
    </row>
    <row r="25" spans="1:12" x14ac:dyDescent="0.25">
      <c r="A25" s="269" t="s">
        <v>264</v>
      </c>
      <c r="B25" s="270" t="s">
        <v>267</v>
      </c>
      <c r="C25" s="530">
        <f t="shared" ref="C25:K25" si="0">SUM(C18:C24)</f>
        <v>1131221437</v>
      </c>
      <c r="D25" s="530">
        <f t="shared" si="0"/>
        <v>1067700000</v>
      </c>
      <c r="E25" s="530">
        <f t="shared" si="0"/>
        <v>1067700000</v>
      </c>
      <c r="F25" s="530">
        <f t="shared" si="0"/>
        <v>1067700000</v>
      </c>
      <c r="G25" s="530">
        <f t="shared" si="0"/>
        <v>1067700000</v>
      </c>
      <c r="H25" s="530">
        <f t="shared" si="0"/>
        <v>1067700000</v>
      </c>
      <c r="I25" s="530">
        <f t="shared" si="0"/>
        <v>1067700000</v>
      </c>
      <c r="J25" s="530">
        <f t="shared" si="0"/>
        <v>1067700000</v>
      </c>
      <c r="K25" s="530">
        <f t="shared" si="0"/>
        <v>4270800000</v>
      </c>
      <c r="L25" s="531">
        <f t="shared" ref="L25:L30" si="1">SUM(C25:K25)</f>
        <v>12875921437</v>
      </c>
    </row>
    <row r="26" spans="1:12" x14ac:dyDescent="0.25">
      <c r="A26" s="269" t="s">
        <v>266</v>
      </c>
      <c r="B26" s="270" t="s">
        <v>268</v>
      </c>
      <c r="C26" s="530">
        <f t="shared" ref="C26:K26" si="2">C25*0.5</f>
        <v>565610718.5</v>
      </c>
      <c r="D26" s="530">
        <f t="shared" si="2"/>
        <v>533850000</v>
      </c>
      <c r="E26" s="530">
        <f t="shared" si="2"/>
        <v>533850000</v>
      </c>
      <c r="F26" s="530">
        <f t="shared" si="2"/>
        <v>533850000</v>
      </c>
      <c r="G26" s="530">
        <f t="shared" si="2"/>
        <v>533850000</v>
      </c>
      <c r="H26" s="530">
        <f t="shared" si="2"/>
        <v>533850000</v>
      </c>
      <c r="I26" s="530">
        <f t="shared" si="2"/>
        <v>533850000</v>
      </c>
      <c r="J26" s="530">
        <f t="shared" si="2"/>
        <v>533850000</v>
      </c>
      <c r="K26" s="530">
        <f t="shared" si="2"/>
        <v>2135400000</v>
      </c>
      <c r="L26" s="531">
        <f t="shared" si="1"/>
        <v>6437960718.5</v>
      </c>
    </row>
    <row r="27" spans="1:12" x14ac:dyDescent="0.25">
      <c r="A27" s="271" t="s">
        <v>269</v>
      </c>
      <c r="B27" s="264" t="s">
        <v>247</v>
      </c>
      <c r="C27" s="144">
        <v>46152000</v>
      </c>
      <c r="D27" s="144">
        <f t="shared" ref="D27:F28" si="3">+H6+H8</f>
        <v>77976000</v>
      </c>
      <c r="E27" s="144">
        <f t="shared" si="3"/>
        <v>77976000</v>
      </c>
      <c r="F27" s="144">
        <f t="shared" si="3"/>
        <v>77976000</v>
      </c>
      <c r="G27" s="144">
        <v>77976000</v>
      </c>
      <c r="H27" s="144">
        <v>77976000</v>
      </c>
      <c r="I27" s="144">
        <v>77976000</v>
      </c>
      <c r="J27" s="144">
        <v>77976000</v>
      </c>
      <c r="K27" s="144">
        <v>311864000</v>
      </c>
      <c r="L27" s="266">
        <f t="shared" si="1"/>
        <v>903848000</v>
      </c>
    </row>
    <row r="28" spans="1:12" x14ac:dyDescent="0.25">
      <c r="A28" s="271" t="s">
        <v>270</v>
      </c>
      <c r="B28" s="264" t="s">
        <v>271</v>
      </c>
      <c r="C28" s="84">
        <f>+G7+G9</f>
        <v>12792590</v>
      </c>
      <c r="D28" s="84">
        <f t="shared" si="3"/>
        <v>17628896.413333334</v>
      </c>
      <c r="E28" s="84">
        <f t="shared" si="3"/>
        <v>15956012.893333331</v>
      </c>
      <c r="F28" s="84">
        <f t="shared" si="3"/>
        <v>14283129.373333333</v>
      </c>
      <c r="G28" s="84">
        <v>12610245.853333332</v>
      </c>
      <c r="H28" s="84">
        <v>10937362.333333334</v>
      </c>
      <c r="I28" s="84">
        <v>9264478.8133333325</v>
      </c>
      <c r="J28" s="84">
        <v>7591595.293333333</v>
      </c>
      <c r="K28" s="326">
        <v>13637546</v>
      </c>
      <c r="L28" s="266">
        <f t="shared" si="1"/>
        <v>114701856.97333333</v>
      </c>
    </row>
    <row r="29" spans="1:12" x14ac:dyDescent="0.25">
      <c r="A29" s="269" t="s">
        <v>272</v>
      </c>
      <c r="B29" s="262">
        <v>12</v>
      </c>
      <c r="C29" s="527">
        <f t="shared" ref="C29:K29" si="4">SUM(C27:C28)</f>
        <v>58944590</v>
      </c>
      <c r="D29" s="527">
        <f t="shared" si="4"/>
        <v>95604896.413333327</v>
      </c>
      <c r="E29" s="527">
        <f t="shared" si="4"/>
        <v>93932012.893333331</v>
      </c>
      <c r="F29" s="527">
        <f t="shared" si="4"/>
        <v>92259129.373333335</v>
      </c>
      <c r="G29" s="527">
        <f t="shared" si="4"/>
        <v>90586245.853333324</v>
      </c>
      <c r="H29" s="527">
        <f t="shared" si="4"/>
        <v>88913362.333333328</v>
      </c>
      <c r="I29" s="527">
        <f t="shared" si="4"/>
        <v>87240478.813333333</v>
      </c>
      <c r="J29" s="528">
        <f t="shared" si="4"/>
        <v>85567595.293333337</v>
      </c>
      <c r="K29" s="528">
        <f t="shared" si="4"/>
        <v>325501546</v>
      </c>
      <c r="L29" s="529">
        <f t="shared" si="1"/>
        <v>1018549856.9733332</v>
      </c>
    </row>
    <row r="30" spans="1:12" ht="22.5" x14ac:dyDescent="0.25">
      <c r="A30" s="269" t="s">
        <v>273</v>
      </c>
      <c r="B30" s="262">
        <v>13</v>
      </c>
      <c r="C30" s="272">
        <f t="shared" ref="C30:K30" si="5">+C26-C29</f>
        <v>506666128.5</v>
      </c>
      <c r="D30" s="272">
        <f t="shared" si="5"/>
        <v>438245103.5866667</v>
      </c>
      <c r="E30" s="272">
        <f t="shared" si="5"/>
        <v>439917987.10666668</v>
      </c>
      <c r="F30" s="272">
        <f t="shared" si="5"/>
        <v>441590870.62666667</v>
      </c>
      <c r="G30" s="272">
        <f t="shared" si="5"/>
        <v>443263754.14666665</v>
      </c>
      <c r="H30" s="272">
        <f t="shared" si="5"/>
        <v>444936637.66666669</v>
      </c>
      <c r="I30" s="272">
        <f t="shared" si="5"/>
        <v>446609521.18666667</v>
      </c>
      <c r="J30" s="272">
        <f t="shared" si="5"/>
        <v>448282404.70666665</v>
      </c>
      <c r="K30" s="272">
        <f t="shared" si="5"/>
        <v>1809898454</v>
      </c>
      <c r="L30" s="266">
        <f t="shared" si="1"/>
        <v>5419410861.5266666</v>
      </c>
    </row>
  </sheetData>
  <mergeCells count="15">
    <mergeCell ref="J1:L2"/>
    <mergeCell ref="D2:H2"/>
    <mergeCell ref="A6:A7"/>
    <mergeCell ref="D6:D7"/>
    <mergeCell ref="A8:A9"/>
    <mergeCell ref="B8:B9"/>
    <mergeCell ref="C8:C9"/>
    <mergeCell ref="D8:D9"/>
    <mergeCell ref="A15:A17"/>
    <mergeCell ref="B15:B17"/>
    <mergeCell ref="C15:E16"/>
    <mergeCell ref="B6:B7"/>
    <mergeCell ref="C6:C7"/>
    <mergeCell ref="E6:E7"/>
    <mergeCell ref="E8:E9"/>
  </mergeCells>
  <pageMargins left="0.37" right="0.2" top="0.75" bottom="0.75" header="0.3" footer="0.3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-0.249977111117893"/>
  </sheetPr>
  <dimension ref="A1:W83"/>
  <sheetViews>
    <sheetView view="pageBreakPreview" topLeftCell="E1" zoomScale="85" zoomScaleNormal="100" zoomScaleSheetLayoutView="85" workbookViewId="0">
      <selection activeCell="T16" sqref="T16"/>
    </sheetView>
  </sheetViews>
  <sheetFormatPr defaultColWidth="9" defaultRowHeight="12.75" x14ac:dyDescent="0.2"/>
  <cols>
    <col min="1" max="1" width="6.5703125" style="7" customWidth="1"/>
    <col min="2" max="2" width="40.7109375" style="7" customWidth="1"/>
    <col min="3" max="3" width="11.85546875" style="7" customWidth="1"/>
    <col min="4" max="4" width="9.7109375" style="7" customWidth="1"/>
    <col min="5" max="6" width="10.7109375" style="7" customWidth="1"/>
    <col min="7" max="10" width="11.5703125" style="7" customWidth="1"/>
    <col min="11" max="11" width="9" style="7"/>
    <col min="12" max="12" width="71" style="7" customWidth="1"/>
    <col min="13" max="13" width="10.28515625" style="7" customWidth="1"/>
    <col min="14" max="14" width="9.7109375" style="7" customWidth="1"/>
    <col min="15" max="16" width="10.28515625" style="7" customWidth="1"/>
    <col min="17" max="17" width="4.5703125" style="7" customWidth="1"/>
    <col min="18" max="18" width="42.5703125" style="7" bestFit="1" customWidth="1"/>
    <col min="19" max="20" width="17.140625" style="7" customWidth="1"/>
    <col min="21" max="21" width="10.28515625" style="7" customWidth="1"/>
    <col min="22" max="22" width="9.28515625" style="7" customWidth="1"/>
    <col min="23" max="23" width="17.7109375" style="7" customWidth="1"/>
    <col min="24" max="16384" width="9" style="7"/>
  </cols>
  <sheetData>
    <row r="1" spans="1:23" x14ac:dyDescent="0.2">
      <c r="H1" s="873" t="s">
        <v>505</v>
      </c>
      <c r="I1" s="873"/>
      <c r="J1" s="873"/>
      <c r="N1" s="873" t="s">
        <v>507</v>
      </c>
      <c r="O1" s="873"/>
      <c r="P1" s="873"/>
      <c r="R1" s="7" t="s">
        <v>533</v>
      </c>
      <c r="U1" s="873" t="s">
        <v>508</v>
      </c>
      <c r="V1" s="873"/>
    </row>
    <row r="2" spans="1:23" ht="33" customHeight="1" x14ac:dyDescent="0.25">
      <c r="A2"/>
      <c r="B2" s="519" t="s">
        <v>530</v>
      </c>
      <c r="C2" s="932"/>
      <c r="D2" s="932"/>
      <c r="E2" s="933"/>
      <c r="F2" s="359"/>
      <c r="H2" s="873"/>
      <c r="I2" s="873"/>
      <c r="J2" s="873"/>
      <c r="K2" s="520" t="s">
        <v>532</v>
      </c>
      <c r="L2" s="6"/>
      <c r="M2" s="10"/>
      <c r="N2" s="873"/>
      <c r="O2" s="873"/>
      <c r="P2" s="873"/>
      <c r="U2" s="873"/>
      <c r="V2" s="873"/>
    </row>
    <row r="3" spans="1:23" ht="34.15" customHeight="1" x14ac:dyDescent="0.2">
      <c r="B3" s="516"/>
      <c r="C3" s="931" t="s">
        <v>334</v>
      </c>
      <c r="D3" s="931"/>
      <c r="E3" s="931"/>
      <c r="F3" s="931"/>
      <c r="G3" s="183"/>
      <c r="H3" s="183"/>
      <c r="I3" s="183"/>
      <c r="J3" s="352"/>
      <c r="L3" s="480" t="s">
        <v>335</v>
      </c>
      <c r="M3" s="496"/>
      <c r="N3" s="183"/>
      <c r="O3" s="183"/>
      <c r="P3" s="183"/>
      <c r="R3" s="905" t="s">
        <v>336</v>
      </c>
      <c r="S3" s="905"/>
      <c r="T3" s="905"/>
      <c r="U3" s="905"/>
      <c r="V3" s="183"/>
      <c r="W3" s="183"/>
    </row>
    <row r="4" spans="1:23" ht="15" x14ac:dyDescent="0.25">
      <c r="A4"/>
      <c r="B4"/>
      <c r="C4" s="4"/>
      <c r="D4" s="86"/>
      <c r="E4" s="15"/>
      <c r="F4" s="358"/>
      <c r="G4" s="183"/>
      <c r="H4" s="183"/>
      <c r="I4" s="183"/>
      <c r="J4" s="352"/>
      <c r="K4" s="5"/>
      <c r="L4" s="5"/>
      <c r="M4" s="5"/>
      <c r="N4" s="183"/>
      <c r="O4" s="183"/>
      <c r="P4" s="183"/>
      <c r="V4" s="183"/>
      <c r="W4" s="183"/>
    </row>
    <row r="5" spans="1:23" ht="15" x14ac:dyDescent="0.25">
      <c r="A5" s="24"/>
      <c r="B5" s="24"/>
      <c r="C5" s="56"/>
      <c r="D5" s="56"/>
      <c r="E5" s="42"/>
      <c r="F5" s="42"/>
      <c r="G5" s="878" t="s">
        <v>400</v>
      </c>
      <c r="H5" s="878"/>
      <c r="I5" s="879"/>
      <c r="J5" s="353"/>
      <c r="K5" s="11"/>
      <c r="L5" s="11"/>
      <c r="M5" s="10"/>
      <c r="N5" s="76"/>
      <c r="O5" s="878" t="s">
        <v>400</v>
      </c>
      <c r="P5" s="878"/>
      <c r="U5" s="925" t="s">
        <v>400</v>
      </c>
      <c r="V5" s="925"/>
      <c r="W5" s="163"/>
    </row>
    <row r="6" spans="1:23" s="518" customFormat="1" ht="60" x14ac:dyDescent="0.25">
      <c r="A6" s="130" t="s">
        <v>31</v>
      </c>
      <c r="B6" s="130" t="s">
        <v>32</v>
      </c>
      <c r="C6" s="242" t="s">
        <v>418</v>
      </c>
      <c r="D6" s="242" t="s">
        <v>422</v>
      </c>
      <c r="E6" s="242" t="s">
        <v>419</v>
      </c>
      <c r="F6" s="242" t="s">
        <v>423</v>
      </c>
      <c r="G6" s="242" t="s">
        <v>420</v>
      </c>
      <c r="H6" s="242" t="s">
        <v>424</v>
      </c>
      <c r="I6" s="242" t="s">
        <v>421</v>
      </c>
      <c r="J6" s="242" t="s">
        <v>425</v>
      </c>
      <c r="K6" s="130" t="s">
        <v>31</v>
      </c>
      <c r="L6" s="130" t="s">
        <v>32</v>
      </c>
      <c r="M6" s="131" t="s">
        <v>209</v>
      </c>
      <c r="N6" s="131" t="s">
        <v>210</v>
      </c>
      <c r="O6" s="130" t="s">
        <v>211</v>
      </c>
      <c r="P6" s="241" t="s">
        <v>0</v>
      </c>
      <c r="Q6" s="130" t="s">
        <v>31</v>
      </c>
      <c r="R6" s="130" t="s">
        <v>32</v>
      </c>
      <c r="S6" s="131" t="s">
        <v>229</v>
      </c>
      <c r="T6" s="131" t="s">
        <v>592</v>
      </c>
      <c r="U6" s="928" t="s">
        <v>48</v>
      </c>
      <c r="V6" s="928"/>
      <c r="W6" s="821"/>
    </row>
    <row r="7" spans="1:23" ht="15" customHeight="1" x14ac:dyDescent="0.2">
      <c r="A7" s="303" t="s">
        <v>12</v>
      </c>
      <c r="B7" s="247" t="s">
        <v>185</v>
      </c>
      <c r="C7" s="84">
        <v>240000000</v>
      </c>
      <c r="D7" s="784">
        <v>279338638</v>
      </c>
      <c r="E7" s="82">
        <v>0</v>
      </c>
      <c r="F7" s="82">
        <v>0</v>
      </c>
      <c r="G7" s="82">
        <v>0</v>
      </c>
      <c r="H7" s="82">
        <v>0</v>
      </c>
      <c r="I7" s="85">
        <f t="shared" ref="I7:J18" si="0">C7+E7+G7</f>
        <v>240000000</v>
      </c>
      <c r="J7" s="85">
        <f t="shared" si="0"/>
        <v>279338638</v>
      </c>
      <c r="K7" s="99" t="s">
        <v>12</v>
      </c>
      <c r="L7" s="27" t="s">
        <v>222</v>
      </c>
      <c r="M7" s="142">
        <v>0</v>
      </c>
      <c r="N7" s="139">
        <v>0</v>
      </c>
      <c r="O7" s="139">
        <v>0</v>
      </c>
      <c r="P7" s="139">
        <v>0</v>
      </c>
      <c r="Q7" s="99" t="s">
        <v>12</v>
      </c>
      <c r="R7" s="150" t="s">
        <v>393</v>
      </c>
      <c r="S7" s="142">
        <v>9400000</v>
      </c>
      <c r="T7" s="142">
        <v>9686108</v>
      </c>
      <c r="U7" s="926"/>
      <c r="V7" s="926"/>
    </row>
    <row r="8" spans="1:23" ht="15" customHeight="1" x14ac:dyDescent="0.2">
      <c r="A8" s="303" t="s">
        <v>13</v>
      </c>
      <c r="B8" s="247" t="s">
        <v>186</v>
      </c>
      <c r="C8" s="82">
        <v>1272000</v>
      </c>
      <c r="D8" s="785">
        <v>1349998</v>
      </c>
      <c r="E8" s="82">
        <v>0</v>
      </c>
      <c r="F8" s="82">
        <v>0</v>
      </c>
      <c r="G8" s="82">
        <v>0</v>
      </c>
      <c r="H8" s="82">
        <v>0</v>
      </c>
      <c r="I8" s="85">
        <f t="shared" si="0"/>
        <v>1272000</v>
      </c>
      <c r="J8" s="85">
        <f t="shared" si="0"/>
        <v>1349998</v>
      </c>
      <c r="K8" s="28" t="s">
        <v>59</v>
      </c>
      <c r="L8" s="137" t="s">
        <v>224</v>
      </c>
      <c r="M8" s="251">
        <v>0</v>
      </c>
      <c r="N8" s="144">
        <v>0</v>
      </c>
      <c r="O8" s="144">
        <v>0</v>
      </c>
      <c r="P8" s="139">
        <v>0</v>
      </c>
      <c r="Q8" s="99" t="s">
        <v>13</v>
      </c>
      <c r="R8" s="150" t="s">
        <v>230</v>
      </c>
      <c r="S8" s="142">
        <f>S9+S10</f>
        <v>7600000</v>
      </c>
      <c r="T8" s="142">
        <f>T9+T10</f>
        <v>7600000</v>
      </c>
      <c r="U8" s="926"/>
      <c r="V8" s="926"/>
    </row>
    <row r="9" spans="1:23" ht="15" customHeight="1" x14ac:dyDescent="0.2">
      <c r="A9" s="303" t="s">
        <v>14</v>
      </c>
      <c r="B9" s="247" t="s">
        <v>34</v>
      </c>
      <c r="C9" s="84">
        <v>0</v>
      </c>
      <c r="D9" s="82">
        <v>0</v>
      </c>
      <c r="E9" s="84">
        <v>1600000</v>
      </c>
      <c r="F9" s="84">
        <v>0</v>
      </c>
      <c r="G9" s="84">
        <v>0</v>
      </c>
      <c r="H9" s="84">
        <v>0</v>
      </c>
      <c r="I9" s="85">
        <f t="shared" si="0"/>
        <v>1600000</v>
      </c>
      <c r="J9" s="85">
        <f t="shared" si="0"/>
        <v>0</v>
      </c>
      <c r="K9" s="28" t="s">
        <v>60</v>
      </c>
      <c r="L9" s="137" t="s">
        <v>223</v>
      </c>
      <c r="M9" s="251">
        <v>0</v>
      </c>
      <c r="N9" s="144">
        <v>0</v>
      </c>
      <c r="O9" s="144">
        <v>0</v>
      </c>
      <c r="P9" s="139">
        <v>0</v>
      </c>
      <c r="Q9" s="28" t="s">
        <v>54</v>
      </c>
      <c r="R9" s="137" t="s">
        <v>231</v>
      </c>
      <c r="S9" s="144">
        <v>7000000</v>
      </c>
      <c r="T9" s="144">
        <v>7000000</v>
      </c>
      <c r="U9" s="926"/>
      <c r="V9" s="926"/>
    </row>
    <row r="10" spans="1:23" ht="15" customHeight="1" x14ac:dyDescent="0.2">
      <c r="A10" s="303" t="s">
        <v>15</v>
      </c>
      <c r="B10" s="247" t="s">
        <v>220</v>
      </c>
      <c r="C10" s="84"/>
      <c r="D10" s="84"/>
      <c r="E10" s="84">
        <v>3000000</v>
      </c>
      <c r="F10" s="784">
        <v>3000000</v>
      </c>
      <c r="G10" s="82"/>
      <c r="H10" s="82"/>
      <c r="I10" s="85">
        <f t="shared" si="0"/>
        <v>3000000</v>
      </c>
      <c r="J10" s="85">
        <f t="shared" si="0"/>
        <v>3000000</v>
      </c>
      <c r="K10" s="28" t="s">
        <v>61</v>
      </c>
      <c r="L10" s="137" t="s">
        <v>225</v>
      </c>
      <c r="M10" s="251">
        <v>0</v>
      </c>
      <c r="N10" s="144">
        <v>0</v>
      </c>
      <c r="O10" s="144">
        <v>0</v>
      </c>
      <c r="P10" s="139">
        <v>0</v>
      </c>
      <c r="Q10" s="28" t="s">
        <v>55</v>
      </c>
      <c r="R10" s="140" t="s">
        <v>207</v>
      </c>
      <c r="S10" s="144">
        <v>600000</v>
      </c>
      <c r="T10" s="144">
        <v>600000</v>
      </c>
      <c r="U10" s="926"/>
      <c r="V10" s="926"/>
    </row>
    <row r="11" spans="1:23" ht="15" customHeight="1" x14ac:dyDescent="0.2">
      <c r="A11" s="303" t="s">
        <v>16</v>
      </c>
      <c r="B11" s="247" t="s">
        <v>213</v>
      </c>
      <c r="C11" s="84">
        <v>0</v>
      </c>
      <c r="D11" s="84">
        <v>0</v>
      </c>
      <c r="E11" s="84">
        <v>4000000</v>
      </c>
      <c r="F11" s="84">
        <v>0</v>
      </c>
      <c r="G11" s="82">
        <v>0</v>
      </c>
      <c r="H11" s="82">
        <v>0</v>
      </c>
      <c r="I11" s="85">
        <f t="shared" si="0"/>
        <v>4000000</v>
      </c>
      <c r="J11" s="85">
        <f t="shared" si="0"/>
        <v>0</v>
      </c>
      <c r="K11" s="28" t="s">
        <v>62</v>
      </c>
      <c r="L11" s="137" t="s">
        <v>226</v>
      </c>
      <c r="M11" s="251">
        <v>0</v>
      </c>
      <c r="N11" s="144">
        <v>0</v>
      </c>
      <c r="O11" s="144">
        <v>0</v>
      </c>
      <c r="P11" s="139">
        <v>0</v>
      </c>
      <c r="Q11" s="99" t="s">
        <v>14</v>
      </c>
      <c r="R11" s="150" t="s">
        <v>593</v>
      </c>
      <c r="S11" s="142"/>
      <c r="T11" s="142">
        <v>2237500</v>
      </c>
      <c r="U11" s="929"/>
      <c r="V11" s="930"/>
    </row>
    <row r="12" spans="1:23" ht="15" customHeight="1" x14ac:dyDescent="0.2">
      <c r="A12" s="303" t="s">
        <v>17</v>
      </c>
      <c r="B12" s="247" t="s">
        <v>343</v>
      </c>
      <c r="C12" s="84">
        <v>0</v>
      </c>
      <c r="D12" s="84">
        <v>0</v>
      </c>
      <c r="E12" s="84">
        <v>1200000</v>
      </c>
      <c r="F12" s="784">
        <v>1200000</v>
      </c>
      <c r="G12" s="84">
        <v>0</v>
      </c>
      <c r="H12" s="84">
        <v>0</v>
      </c>
      <c r="I12" s="85">
        <f t="shared" si="0"/>
        <v>1200000</v>
      </c>
      <c r="J12" s="85">
        <f t="shared" si="0"/>
        <v>1200000</v>
      </c>
      <c r="K12" s="99" t="s">
        <v>13</v>
      </c>
      <c r="L12" s="150" t="s">
        <v>57</v>
      </c>
      <c r="M12" s="139">
        <f>SUM(M13:M15)</f>
        <v>313444</v>
      </c>
      <c r="N12" s="139">
        <v>0</v>
      </c>
      <c r="O12" s="139">
        <v>0</v>
      </c>
      <c r="P12" s="139">
        <f t="shared" ref="P12:P18" si="1">SUM(M12:O12)</f>
        <v>313444</v>
      </c>
      <c r="Q12" s="822"/>
      <c r="R12" s="150" t="s">
        <v>232</v>
      </c>
      <c r="S12" s="139">
        <f>S7+S8</f>
        <v>17000000</v>
      </c>
      <c r="T12" s="139">
        <f>T7+T8+T11</f>
        <v>19523608</v>
      </c>
      <c r="U12" s="926"/>
      <c r="V12" s="926"/>
    </row>
    <row r="13" spans="1:23" ht="15" customHeight="1" x14ac:dyDescent="0.2">
      <c r="A13" s="303" t="s">
        <v>18</v>
      </c>
      <c r="B13" s="247" t="s">
        <v>309</v>
      </c>
      <c r="C13" s="247"/>
      <c r="D13" s="247"/>
      <c r="E13" s="84">
        <v>200000</v>
      </c>
      <c r="F13" s="784">
        <v>200000</v>
      </c>
      <c r="G13" s="247"/>
      <c r="H13" s="247"/>
      <c r="I13" s="85">
        <f t="shared" si="0"/>
        <v>200000</v>
      </c>
      <c r="J13" s="85">
        <f t="shared" si="0"/>
        <v>200000</v>
      </c>
      <c r="K13" s="28" t="s">
        <v>54</v>
      </c>
      <c r="L13" s="137" t="s">
        <v>397</v>
      </c>
      <c r="M13" s="139">
        <v>5078</v>
      </c>
      <c r="N13" s="144">
        <v>0</v>
      </c>
      <c r="O13" s="144">
        <v>0</v>
      </c>
      <c r="P13" s="139">
        <f t="shared" si="1"/>
        <v>5078</v>
      </c>
      <c r="Q13" s="59"/>
      <c r="R13" s="59"/>
      <c r="S13" s="59"/>
      <c r="T13" s="59"/>
      <c r="U13" s="927"/>
      <c r="V13" s="927"/>
    </row>
    <row r="14" spans="1:23" ht="15" customHeight="1" x14ac:dyDescent="0.2">
      <c r="A14" s="303" t="s">
        <v>19</v>
      </c>
      <c r="B14" s="247" t="s">
        <v>344</v>
      </c>
      <c r="C14" s="247"/>
      <c r="D14" s="247"/>
      <c r="E14" s="84">
        <v>164000</v>
      </c>
      <c r="F14" s="784">
        <v>164000</v>
      </c>
      <c r="G14" s="247"/>
      <c r="H14" s="247"/>
      <c r="I14" s="85">
        <f t="shared" si="0"/>
        <v>164000</v>
      </c>
      <c r="J14" s="85">
        <f t="shared" si="0"/>
        <v>164000</v>
      </c>
      <c r="K14" s="28" t="s">
        <v>55</v>
      </c>
      <c r="L14" s="140" t="s">
        <v>58</v>
      </c>
      <c r="M14" s="139">
        <v>299208</v>
      </c>
      <c r="N14" s="144">
        <v>0</v>
      </c>
      <c r="O14" s="144">
        <v>0</v>
      </c>
      <c r="P14" s="139">
        <f t="shared" si="1"/>
        <v>299208</v>
      </c>
      <c r="Q14" s="59"/>
      <c r="R14" s="59"/>
      <c r="S14" s="59"/>
      <c r="T14" s="59"/>
      <c r="U14" s="924"/>
      <c r="V14" s="924"/>
    </row>
    <row r="15" spans="1:23" ht="15" customHeight="1" x14ac:dyDescent="0.2">
      <c r="A15" s="303" t="s">
        <v>20</v>
      </c>
      <c r="B15" s="247" t="s">
        <v>346</v>
      </c>
      <c r="C15" s="247"/>
      <c r="D15" s="247"/>
      <c r="E15" s="84">
        <v>27000000</v>
      </c>
      <c r="F15" s="84">
        <v>147500</v>
      </c>
      <c r="G15" s="247"/>
      <c r="H15" s="247"/>
      <c r="I15" s="85">
        <f t="shared" si="0"/>
        <v>27000000</v>
      </c>
      <c r="J15" s="85">
        <f t="shared" si="0"/>
        <v>147500</v>
      </c>
      <c r="K15" s="28" t="s">
        <v>64</v>
      </c>
      <c r="L15" s="140" t="s">
        <v>187</v>
      </c>
      <c r="M15" s="139">
        <v>9158</v>
      </c>
      <c r="N15" s="144">
        <v>0</v>
      </c>
      <c r="O15" s="144">
        <v>0</v>
      </c>
      <c r="P15" s="139">
        <f t="shared" si="1"/>
        <v>9158</v>
      </c>
      <c r="Q15" s="59"/>
      <c r="R15" s="59"/>
      <c r="S15" s="59"/>
      <c r="T15" s="59"/>
      <c r="U15" s="924"/>
      <c r="V15" s="924"/>
    </row>
    <row r="16" spans="1:23" ht="15" customHeight="1" x14ac:dyDescent="0.2">
      <c r="A16" s="303" t="s">
        <v>21</v>
      </c>
      <c r="B16" s="247" t="s">
        <v>347</v>
      </c>
      <c r="C16" s="247"/>
      <c r="D16" s="247"/>
      <c r="E16" s="84">
        <v>12192000</v>
      </c>
      <c r="F16" s="784">
        <v>12192000</v>
      </c>
      <c r="G16" s="247"/>
      <c r="H16" s="247"/>
      <c r="I16" s="85">
        <f>C16+E16+G16</f>
        <v>12192000</v>
      </c>
      <c r="J16" s="85">
        <f>D16+F16+H16</f>
        <v>12192000</v>
      </c>
      <c r="K16" s="99" t="s">
        <v>14</v>
      </c>
      <c r="L16" s="27" t="s">
        <v>3</v>
      </c>
      <c r="M16" s="139">
        <v>5025</v>
      </c>
      <c r="N16" s="139">
        <v>0</v>
      </c>
      <c r="O16" s="139">
        <v>0</v>
      </c>
      <c r="P16" s="139">
        <f t="shared" si="1"/>
        <v>5025</v>
      </c>
      <c r="Q16" s="59"/>
      <c r="R16" s="59"/>
      <c r="S16" s="59"/>
      <c r="T16" s="59"/>
      <c r="U16" s="924"/>
      <c r="V16" s="924"/>
    </row>
    <row r="17" spans="1:22" ht="15" customHeight="1" x14ac:dyDescent="0.2">
      <c r="A17" s="303"/>
      <c r="B17" s="247" t="s">
        <v>459</v>
      </c>
      <c r="C17" s="247"/>
      <c r="D17" s="82"/>
      <c r="E17" s="84"/>
      <c r="F17" s="84">
        <f>250000+345000+6439100</f>
        <v>7034100</v>
      </c>
      <c r="G17" s="247"/>
      <c r="H17" s="247"/>
      <c r="I17" s="85">
        <f t="shared" ref="I17" si="2">C17+E17+G17</f>
        <v>0</v>
      </c>
      <c r="J17" s="85">
        <f t="shared" ref="J17" si="3">D17+F17+H17</f>
        <v>7034100</v>
      </c>
      <c r="K17" s="28" t="s">
        <v>56</v>
      </c>
      <c r="L17" s="115" t="s">
        <v>188</v>
      </c>
      <c r="M17" s="139">
        <v>5025</v>
      </c>
      <c r="N17" s="144">
        <v>0</v>
      </c>
      <c r="O17" s="144">
        <v>0</v>
      </c>
      <c r="P17" s="139">
        <f t="shared" si="1"/>
        <v>5025</v>
      </c>
      <c r="Q17" s="104"/>
      <c r="R17" s="42"/>
      <c r="S17" s="61"/>
      <c r="T17" s="61"/>
      <c r="U17" s="61"/>
      <c r="V17" s="38"/>
    </row>
    <row r="18" spans="1:22" ht="15" customHeight="1" x14ac:dyDescent="0.2">
      <c r="A18" s="303" t="s">
        <v>22</v>
      </c>
      <c r="B18" s="249" t="s">
        <v>0</v>
      </c>
      <c r="C18" s="85">
        <f>SUM(C7:C12)</f>
        <v>241272000</v>
      </c>
      <c r="D18" s="85">
        <f>SUM(D7:D17)</f>
        <v>280688636</v>
      </c>
      <c r="E18" s="85">
        <f>SUM(E7:E16)</f>
        <v>49356000</v>
      </c>
      <c r="F18" s="85">
        <f>SUM(F7:F17)</f>
        <v>23937600</v>
      </c>
      <c r="G18" s="85">
        <f>SUM(G7:G12)</f>
        <v>0</v>
      </c>
      <c r="H18" s="85">
        <f>SUM(H7:H12)</f>
        <v>0</v>
      </c>
      <c r="I18" s="85">
        <f t="shared" si="0"/>
        <v>290628000</v>
      </c>
      <c r="J18" s="85">
        <f>D18+F18+H18</f>
        <v>304626236</v>
      </c>
      <c r="K18" s="145" t="s">
        <v>15</v>
      </c>
      <c r="L18" s="141" t="s">
        <v>0</v>
      </c>
      <c r="M18" s="139">
        <v>314469</v>
      </c>
      <c r="N18" s="139">
        <v>0</v>
      </c>
      <c r="O18" s="139">
        <v>0</v>
      </c>
      <c r="P18" s="139">
        <f t="shared" si="1"/>
        <v>314469</v>
      </c>
      <c r="Q18" s="159"/>
      <c r="R18" s="160"/>
      <c r="S18" s="62"/>
      <c r="V18" s="38"/>
    </row>
    <row r="19" spans="1:22" ht="15" x14ac:dyDescent="0.25">
      <c r="A19" s="59"/>
      <c r="B19" s="135"/>
      <c r="C19" s="135"/>
      <c r="D19" s="135"/>
      <c r="E19" s="38"/>
      <c r="F19" s="38"/>
      <c r="G19" s="59"/>
      <c r="H19" s="59"/>
      <c r="I19" s="59"/>
      <c r="J19" s="85"/>
      <c r="Q19" s="104"/>
      <c r="R19" s="38"/>
      <c r="S19" s="61"/>
      <c r="V19" s="38"/>
    </row>
    <row r="20" spans="1:22" ht="14.65" customHeight="1" x14ac:dyDescent="0.25">
      <c r="A20" s="59"/>
      <c r="B20" s="135"/>
      <c r="C20" s="135"/>
      <c r="D20" s="135"/>
      <c r="E20" s="38"/>
      <c r="F20" s="38"/>
      <c r="G20" s="59"/>
      <c r="H20" s="59"/>
      <c r="I20" s="59"/>
      <c r="J20" s="786"/>
      <c r="Q20" s="104"/>
      <c r="R20" s="38"/>
      <c r="S20" s="61"/>
      <c r="T20" s="61"/>
      <c r="U20" s="61"/>
      <c r="V20" s="38"/>
    </row>
    <row r="21" spans="1:22" ht="13.15" customHeight="1" x14ac:dyDescent="0.25">
      <c r="A21" s="59"/>
      <c r="B21" s="135"/>
      <c r="C21" s="135"/>
      <c r="D21" s="135"/>
      <c r="E21" s="38"/>
      <c r="F21" s="38"/>
      <c r="G21" s="59"/>
      <c r="H21" s="873" t="s">
        <v>506</v>
      </c>
      <c r="I21" s="873"/>
      <c r="J21" s="873"/>
      <c r="Q21" s="104"/>
      <c r="R21" s="38"/>
      <c r="S21" s="61"/>
      <c r="T21" s="61"/>
      <c r="U21" s="38"/>
      <c r="V21" s="38"/>
    </row>
    <row r="22" spans="1:22" ht="14.45" customHeight="1" x14ac:dyDescent="0.2">
      <c r="B22" s="521" t="s">
        <v>531</v>
      </c>
      <c r="C22" s="931" t="s">
        <v>345</v>
      </c>
      <c r="D22" s="931"/>
      <c r="E22" s="931"/>
      <c r="F22" s="931"/>
      <c r="H22" s="873"/>
      <c r="I22" s="873"/>
      <c r="J22" s="873"/>
      <c r="Q22" s="104"/>
      <c r="R22" s="38"/>
      <c r="S22" s="61"/>
      <c r="T22" s="61"/>
      <c r="U22" s="38"/>
      <c r="V22" s="38"/>
    </row>
    <row r="23" spans="1:22" ht="15" x14ac:dyDescent="0.2">
      <c r="A23" s="516"/>
      <c r="B23" s="516"/>
      <c r="C23" s="931"/>
      <c r="D23" s="931"/>
      <c r="E23" s="931"/>
      <c r="F23" s="931"/>
      <c r="G23" s="183"/>
      <c r="H23" s="183"/>
      <c r="I23" s="183"/>
      <c r="J23" s="352"/>
      <c r="Q23" s="159"/>
      <c r="R23" s="160"/>
      <c r="S23" s="62"/>
      <c r="T23" s="62"/>
      <c r="U23" s="62"/>
      <c r="V23" s="61"/>
    </row>
    <row r="24" spans="1:22" ht="15" x14ac:dyDescent="0.25">
      <c r="A24" s="181"/>
      <c r="B24" s="181"/>
      <c r="C24" s="86"/>
      <c r="D24" s="86"/>
      <c r="E24" s="236"/>
      <c r="F24" s="358"/>
      <c r="G24" s="183"/>
      <c r="H24" s="183"/>
      <c r="I24" s="183"/>
      <c r="J24" s="352"/>
      <c r="Q24" s="104"/>
      <c r="R24" s="42"/>
      <c r="S24" s="61"/>
      <c r="T24" s="61"/>
      <c r="U24" s="38"/>
      <c r="V24" s="38"/>
    </row>
    <row r="25" spans="1:22" ht="15" x14ac:dyDescent="0.25">
      <c r="A25" s="235"/>
      <c r="B25" s="235"/>
      <c r="C25" s="56"/>
      <c r="D25" s="56"/>
      <c r="E25" s="42"/>
      <c r="F25" s="42"/>
      <c r="G25" s="878" t="s">
        <v>400</v>
      </c>
      <c r="H25" s="878"/>
      <c r="I25" s="879"/>
      <c r="J25" s="353"/>
      <c r="Q25" s="104"/>
      <c r="R25" s="38"/>
      <c r="S25" s="61"/>
      <c r="T25" s="61"/>
      <c r="U25" s="38"/>
      <c r="V25" s="38"/>
    </row>
    <row r="26" spans="1:22" ht="60" x14ac:dyDescent="0.2">
      <c r="A26" s="130" t="s">
        <v>31</v>
      </c>
      <c r="B26" s="130" t="s">
        <v>32</v>
      </c>
      <c r="C26" s="242" t="s">
        <v>418</v>
      </c>
      <c r="D26" s="242" t="s">
        <v>422</v>
      </c>
      <c r="E26" s="242" t="s">
        <v>419</v>
      </c>
      <c r="F26" s="242" t="s">
        <v>423</v>
      </c>
      <c r="G26" s="242" t="s">
        <v>420</v>
      </c>
      <c r="H26" s="242" t="s">
        <v>424</v>
      </c>
      <c r="I26" s="242" t="s">
        <v>421</v>
      </c>
      <c r="J26" s="242" t="s">
        <v>425</v>
      </c>
      <c r="Q26" s="104"/>
      <c r="R26" s="38"/>
      <c r="S26" s="61"/>
      <c r="T26" s="61"/>
      <c r="U26" s="38"/>
      <c r="V26" s="38"/>
    </row>
    <row r="27" spans="1:22" ht="22.5" x14ac:dyDescent="0.2">
      <c r="A27" s="249" t="s">
        <v>12</v>
      </c>
      <c r="B27" s="297" t="s">
        <v>319</v>
      </c>
      <c r="C27" s="83">
        <f>SUM(C28:C31)</f>
        <v>237911000</v>
      </c>
      <c r="D27" s="83">
        <f>SUM(D28:D31)</f>
        <v>242033390</v>
      </c>
      <c r="E27" s="365">
        <v>0</v>
      </c>
      <c r="F27" s="365">
        <v>0</v>
      </c>
      <c r="G27" s="365">
        <v>0</v>
      </c>
      <c r="H27" s="365">
        <v>0</v>
      </c>
      <c r="I27" s="83">
        <f>C27+E27+G27</f>
        <v>237911000</v>
      </c>
      <c r="J27" s="83">
        <f t="shared" ref="J27" si="4">D27+F27+H27</f>
        <v>242033390</v>
      </c>
      <c r="Q27" s="161"/>
      <c r="R27" s="160"/>
      <c r="S27" s="160"/>
      <c r="T27" s="160"/>
      <c r="U27" s="59"/>
      <c r="V27" s="59"/>
    </row>
    <row r="28" spans="1:22" x14ac:dyDescent="0.2">
      <c r="A28" s="698" t="s">
        <v>324</v>
      </c>
      <c r="B28" s="298" t="s">
        <v>320</v>
      </c>
      <c r="C28" s="296">
        <v>4507000</v>
      </c>
      <c r="D28" s="296">
        <v>4507000</v>
      </c>
      <c r="E28" s="366">
        <v>0</v>
      </c>
      <c r="F28" s="366">
        <v>0</v>
      </c>
      <c r="G28" s="366">
        <v>0</v>
      </c>
      <c r="H28" s="366">
        <v>0</v>
      </c>
      <c r="I28" s="81">
        <f t="shared" ref="I28:I40" si="5">C28+E28+G28</f>
        <v>4507000</v>
      </c>
      <c r="J28" s="81">
        <f t="shared" ref="J28:J41" si="6">D28+F28+H28</f>
        <v>4507000</v>
      </c>
      <c r="Q28" s="104"/>
      <c r="R28" s="38"/>
      <c r="S28" s="38"/>
      <c r="T28" s="38"/>
      <c r="U28" s="59"/>
      <c r="V28" s="59"/>
    </row>
    <row r="29" spans="1:22" x14ac:dyDescent="0.2">
      <c r="A29" s="698" t="s">
        <v>325</v>
      </c>
      <c r="B29" s="298" t="s">
        <v>321</v>
      </c>
      <c r="C29" s="366">
        <v>7220000</v>
      </c>
      <c r="D29" s="366">
        <v>7220000</v>
      </c>
      <c r="E29" s="366">
        <v>0</v>
      </c>
      <c r="F29" s="366">
        <v>0</v>
      </c>
      <c r="G29" s="366">
        <v>0</v>
      </c>
      <c r="H29" s="366">
        <v>0</v>
      </c>
      <c r="I29" s="81">
        <f t="shared" si="5"/>
        <v>7220000</v>
      </c>
      <c r="J29" s="81">
        <f t="shared" si="6"/>
        <v>7220000</v>
      </c>
      <c r="Q29" s="104"/>
      <c r="R29" s="38"/>
      <c r="S29" s="38"/>
      <c r="T29" s="38"/>
      <c r="U29" s="59"/>
      <c r="V29" s="59"/>
    </row>
    <row r="30" spans="1:22" x14ac:dyDescent="0.2">
      <c r="A30" s="698" t="s">
        <v>326</v>
      </c>
      <c r="B30" s="298" t="s">
        <v>322</v>
      </c>
      <c r="C30" s="296">
        <v>219251000</v>
      </c>
      <c r="D30" s="296">
        <v>220373390</v>
      </c>
      <c r="E30" s="296">
        <v>0</v>
      </c>
      <c r="F30" s="296">
        <v>0</v>
      </c>
      <c r="G30" s="296">
        <v>0</v>
      </c>
      <c r="H30" s="296">
        <v>0</v>
      </c>
      <c r="I30" s="81">
        <f t="shared" si="5"/>
        <v>219251000</v>
      </c>
      <c r="J30" s="81">
        <f t="shared" si="6"/>
        <v>220373390</v>
      </c>
      <c r="Q30" s="104"/>
      <c r="R30" s="38"/>
      <c r="S30" s="38"/>
      <c r="T30" s="38"/>
      <c r="U30" s="59"/>
      <c r="V30" s="59"/>
    </row>
    <row r="31" spans="1:22" s="299" customFormat="1" x14ac:dyDescent="0.2">
      <c r="A31" s="698" t="s">
        <v>327</v>
      </c>
      <c r="B31" s="298" t="s">
        <v>323</v>
      </c>
      <c r="C31" s="296">
        <v>6933000</v>
      </c>
      <c r="D31" s="296">
        <v>9933000</v>
      </c>
      <c r="E31" s="296">
        <v>0</v>
      </c>
      <c r="F31" s="296">
        <v>0</v>
      </c>
      <c r="G31" s="366">
        <v>0</v>
      </c>
      <c r="H31" s="366">
        <v>0</v>
      </c>
      <c r="I31" s="81">
        <f t="shared" si="5"/>
        <v>6933000</v>
      </c>
      <c r="J31" s="81">
        <f t="shared" si="6"/>
        <v>9933000</v>
      </c>
      <c r="Q31" s="300"/>
      <c r="R31" s="301"/>
      <c r="S31" s="301"/>
      <c r="T31" s="301"/>
      <c r="U31" s="301"/>
      <c r="V31" s="301"/>
    </row>
    <row r="32" spans="1:22" s="694" customFormat="1" x14ac:dyDescent="0.2">
      <c r="A32" s="249" t="s">
        <v>13</v>
      </c>
      <c r="B32" s="297" t="s">
        <v>312</v>
      </c>
      <c r="C32" s="83">
        <v>0</v>
      </c>
      <c r="D32" s="83">
        <v>0</v>
      </c>
      <c r="E32" s="83">
        <f>SUM(E33:E35)</f>
        <v>33500000</v>
      </c>
      <c r="F32" s="83">
        <v>43500000</v>
      </c>
      <c r="G32" s="365">
        <v>0</v>
      </c>
      <c r="H32" s="365">
        <v>0</v>
      </c>
      <c r="I32" s="83">
        <f t="shared" si="5"/>
        <v>33500000</v>
      </c>
      <c r="J32" s="83">
        <f>D32+F32+H32</f>
        <v>43500000</v>
      </c>
      <c r="Q32" s="695"/>
      <c r="R32" s="696"/>
      <c r="S32" s="697"/>
      <c r="T32" s="697"/>
      <c r="U32" s="697"/>
      <c r="V32" s="696"/>
    </row>
    <row r="33" spans="1:22" s="299" customFormat="1" x14ac:dyDescent="0.2">
      <c r="A33" s="698" t="s">
        <v>324</v>
      </c>
      <c r="B33" s="298" t="s">
        <v>558</v>
      </c>
      <c r="C33" s="296">
        <v>0</v>
      </c>
      <c r="D33" s="296">
        <v>0</v>
      </c>
      <c r="E33" s="296">
        <v>4000000</v>
      </c>
      <c r="F33" s="296">
        <v>4000000</v>
      </c>
      <c r="G33" s="296">
        <v>0</v>
      </c>
      <c r="H33" s="296">
        <v>0</v>
      </c>
      <c r="I33" s="81">
        <f t="shared" si="5"/>
        <v>4000000</v>
      </c>
      <c r="J33" s="81">
        <f t="shared" si="6"/>
        <v>4000000</v>
      </c>
      <c r="Q33" s="301"/>
      <c r="R33" s="302"/>
      <c r="S33" s="302"/>
      <c r="T33" s="302"/>
      <c r="U33" s="302"/>
      <c r="V33" s="302"/>
    </row>
    <row r="34" spans="1:22" x14ac:dyDescent="0.2">
      <c r="A34" s="698" t="s">
        <v>325</v>
      </c>
      <c r="B34" s="298" t="s">
        <v>313</v>
      </c>
      <c r="C34" s="296">
        <v>0</v>
      </c>
      <c r="D34" s="296">
        <v>0</v>
      </c>
      <c r="E34" s="296">
        <v>2000000</v>
      </c>
      <c r="F34" s="296">
        <v>2000000</v>
      </c>
      <c r="G34" s="367">
        <v>0</v>
      </c>
      <c r="H34" s="367">
        <v>0</v>
      </c>
      <c r="I34" s="81">
        <f t="shared" si="5"/>
        <v>2000000</v>
      </c>
      <c r="J34" s="81">
        <f t="shared" si="6"/>
        <v>2000000</v>
      </c>
      <c r="Q34" s="59"/>
      <c r="R34" s="38"/>
      <c r="S34" s="44"/>
      <c r="T34" s="44"/>
      <c r="U34" s="44"/>
      <c r="V34" s="38"/>
    </row>
    <row r="35" spans="1:22" x14ac:dyDescent="0.2">
      <c r="A35" s="698" t="s">
        <v>326</v>
      </c>
      <c r="B35" s="298" t="s">
        <v>318</v>
      </c>
      <c r="C35" s="296">
        <v>0</v>
      </c>
      <c r="D35" s="296">
        <v>0</v>
      </c>
      <c r="E35" s="296">
        <v>27500000</v>
      </c>
      <c r="F35" s="296">
        <v>27500000</v>
      </c>
      <c r="G35" s="367">
        <v>0</v>
      </c>
      <c r="H35" s="367">
        <v>0</v>
      </c>
      <c r="I35" s="81">
        <f t="shared" si="5"/>
        <v>27500000</v>
      </c>
      <c r="J35" s="81">
        <f t="shared" si="6"/>
        <v>27500000</v>
      </c>
      <c r="Q35" s="59"/>
      <c r="R35" s="38"/>
      <c r="S35" s="46"/>
      <c r="T35" s="46"/>
      <c r="U35" s="46"/>
      <c r="V35" s="38"/>
    </row>
    <row r="36" spans="1:22" x14ac:dyDescent="0.2">
      <c r="A36" s="698" t="s">
        <v>327</v>
      </c>
      <c r="B36" s="298" t="s">
        <v>591</v>
      </c>
      <c r="C36" s="296"/>
      <c r="D36" s="296"/>
      <c r="E36" s="296"/>
      <c r="F36" s="296">
        <v>10000000</v>
      </c>
      <c r="G36" s="367"/>
      <c r="H36" s="367"/>
      <c r="I36" s="81">
        <f t="shared" ref="I36" si="7">C36+E36+G36</f>
        <v>0</v>
      </c>
      <c r="J36" s="81">
        <f t="shared" ref="J36" si="8">D36+F36+H36</f>
        <v>10000000</v>
      </c>
      <c r="Q36" s="59"/>
      <c r="R36" s="38"/>
      <c r="S36" s="46"/>
      <c r="T36" s="46"/>
      <c r="U36" s="46"/>
      <c r="V36" s="38"/>
    </row>
    <row r="37" spans="1:22" s="701" customFormat="1" x14ac:dyDescent="0.2">
      <c r="A37" s="249" t="s">
        <v>14</v>
      </c>
      <c r="B37" s="297" t="s">
        <v>459</v>
      </c>
      <c r="C37" s="83"/>
      <c r="D37" s="83">
        <f>40000+170610</f>
        <v>210610</v>
      </c>
      <c r="E37" s="83"/>
      <c r="F37" s="83"/>
      <c r="G37" s="700"/>
      <c r="H37" s="700"/>
      <c r="I37" s="83">
        <f t="shared" si="5"/>
        <v>0</v>
      </c>
      <c r="J37" s="83">
        <f t="shared" si="6"/>
        <v>210610</v>
      </c>
      <c r="Q37" s="702"/>
      <c r="R37" s="160"/>
      <c r="S37" s="44"/>
      <c r="T37" s="44"/>
      <c r="U37" s="44"/>
      <c r="V37" s="160"/>
    </row>
    <row r="38" spans="1:22" ht="22.5" x14ac:dyDescent="0.2">
      <c r="A38" s="249" t="s">
        <v>15</v>
      </c>
      <c r="B38" s="297" t="s">
        <v>348</v>
      </c>
      <c r="C38" s="83">
        <v>6755000</v>
      </c>
      <c r="D38" s="83">
        <v>6755000</v>
      </c>
      <c r="E38" s="248">
        <v>0</v>
      </c>
      <c r="F38" s="248">
        <v>0</v>
      </c>
      <c r="G38" s="248">
        <v>0</v>
      </c>
      <c r="H38" s="248">
        <v>0</v>
      </c>
      <c r="I38" s="83">
        <f t="shared" si="5"/>
        <v>6755000</v>
      </c>
      <c r="J38" s="83">
        <f t="shared" si="6"/>
        <v>6755000</v>
      </c>
      <c r="Q38" s="59"/>
      <c r="R38" s="38"/>
      <c r="S38" s="46"/>
      <c r="T38" s="46"/>
      <c r="U38" s="46"/>
      <c r="V38" s="38"/>
    </row>
    <row r="39" spans="1:22" x14ac:dyDescent="0.2">
      <c r="A39" s="698" t="s">
        <v>324</v>
      </c>
      <c r="B39" s="247" t="s">
        <v>349</v>
      </c>
      <c r="C39" s="296">
        <v>6755000</v>
      </c>
      <c r="D39" s="296">
        <v>6755000</v>
      </c>
      <c r="E39" s="248">
        <v>0</v>
      </c>
      <c r="F39" s="248">
        <v>0</v>
      </c>
      <c r="G39" s="248">
        <v>0</v>
      </c>
      <c r="H39" s="248">
        <v>0</v>
      </c>
      <c r="I39" s="83">
        <f t="shared" si="5"/>
        <v>6755000</v>
      </c>
      <c r="J39" s="83">
        <f t="shared" si="6"/>
        <v>6755000</v>
      </c>
      <c r="Q39" s="59"/>
      <c r="R39" s="38"/>
      <c r="S39" s="46"/>
      <c r="T39" s="46"/>
      <c r="U39" s="46"/>
      <c r="V39" s="38"/>
    </row>
    <row r="40" spans="1:22" x14ac:dyDescent="0.2">
      <c r="A40" s="698" t="s">
        <v>16</v>
      </c>
      <c r="B40" s="247" t="s">
        <v>34</v>
      </c>
      <c r="C40" s="296">
        <v>0</v>
      </c>
      <c r="D40" s="296">
        <v>0</v>
      </c>
      <c r="E40" s="248">
        <v>0</v>
      </c>
      <c r="F40" s="296">
        <v>1600000</v>
      </c>
      <c r="G40" s="248">
        <v>0</v>
      </c>
      <c r="H40" s="248">
        <v>0</v>
      </c>
      <c r="I40" s="83">
        <f t="shared" si="5"/>
        <v>0</v>
      </c>
      <c r="J40" s="83">
        <f t="shared" si="6"/>
        <v>1600000</v>
      </c>
      <c r="Q40" s="59"/>
      <c r="R40" s="38"/>
      <c r="S40" s="44"/>
      <c r="T40" s="44"/>
      <c r="U40" s="44"/>
      <c r="V40" s="38"/>
    </row>
    <row r="41" spans="1:22" x14ac:dyDescent="0.2">
      <c r="A41" s="699"/>
      <c r="B41" s="249" t="s">
        <v>0</v>
      </c>
      <c r="C41" s="83">
        <f>+C32+C27+C38+C40</f>
        <v>244666000</v>
      </c>
      <c r="D41" s="83">
        <f>+D32+D27+D38+D40+D37</f>
        <v>248999000</v>
      </c>
      <c r="E41" s="83">
        <f>+E32+E27+E38+E40+E37</f>
        <v>33500000</v>
      </c>
      <c r="F41" s="83">
        <f>+F32+F27+F38+F40+F37</f>
        <v>45100000</v>
      </c>
      <c r="G41" s="83">
        <f>+G32+G27+G38+G40+G37</f>
        <v>0</v>
      </c>
      <c r="H41" s="83">
        <f>+H32+H27+H38+H40+H37</f>
        <v>0</v>
      </c>
      <c r="I41" s="83">
        <f>C41+E41+G41</f>
        <v>278166000</v>
      </c>
      <c r="J41" s="83">
        <f t="shared" si="6"/>
        <v>294099000</v>
      </c>
      <c r="Q41" s="59"/>
      <c r="R41" s="59"/>
      <c r="S41" s="59"/>
      <c r="T41" s="59"/>
      <c r="U41" s="59"/>
      <c r="V41" s="59"/>
    </row>
    <row r="42" spans="1:22" ht="15" x14ac:dyDescent="0.25">
      <c r="A42" s="60"/>
      <c r="B42" s="60"/>
      <c r="C42" s="60"/>
      <c r="D42" s="60"/>
      <c r="E42" s="59"/>
      <c r="F42" s="59"/>
      <c r="G42" s="59"/>
      <c r="H42" s="59"/>
      <c r="I42" s="59"/>
      <c r="J42" s="85">
        <f>+J41-J38</f>
        <v>287344000</v>
      </c>
      <c r="Q42" s="59"/>
      <c r="R42" s="38"/>
      <c r="S42" s="162"/>
      <c r="T42" s="162"/>
      <c r="U42" s="162"/>
      <c r="V42" s="59"/>
    </row>
    <row r="43" spans="1:22" x14ac:dyDescent="0.2">
      <c r="A43" s="59"/>
      <c r="B43" s="59"/>
      <c r="C43" s="59"/>
      <c r="D43" s="59"/>
      <c r="E43" s="59"/>
      <c r="F43" s="59"/>
      <c r="G43" s="59"/>
      <c r="H43" s="59"/>
      <c r="I43" s="59"/>
      <c r="J43" s="59"/>
      <c r="Q43" s="59"/>
      <c r="R43" s="59"/>
      <c r="S43" s="59"/>
      <c r="T43" s="59"/>
      <c r="U43" s="162"/>
      <c r="V43" s="59"/>
    </row>
    <row r="44" spans="1:22" x14ac:dyDescent="0.2">
      <c r="Q44" s="59"/>
      <c r="R44" s="59"/>
      <c r="S44" s="59"/>
      <c r="T44" s="59"/>
      <c r="U44" s="162"/>
      <c r="V44" s="59"/>
    </row>
    <row r="45" spans="1:22" x14ac:dyDescent="0.2">
      <c r="Q45" s="59"/>
      <c r="R45" s="59"/>
      <c r="S45" s="59"/>
      <c r="T45" s="59"/>
      <c r="U45" s="59"/>
      <c r="V45" s="59"/>
    </row>
    <row r="46" spans="1:22" x14ac:dyDescent="0.2">
      <c r="Q46" s="59"/>
      <c r="R46" s="59"/>
      <c r="S46" s="59"/>
      <c r="T46" s="59"/>
      <c r="U46" s="59"/>
      <c r="V46" s="59"/>
    </row>
    <row r="47" spans="1:22" x14ac:dyDescent="0.2">
      <c r="Q47" s="59"/>
      <c r="R47" s="59"/>
      <c r="S47" s="59"/>
      <c r="T47" s="59"/>
      <c r="U47" s="59"/>
      <c r="V47" s="59"/>
    </row>
    <row r="48" spans="1:22" x14ac:dyDescent="0.2">
      <c r="C48" s="781"/>
    </row>
    <row r="49" spans="2:4" x14ac:dyDescent="0.2">
      <c r="C49" s="781"/>
    </row>
    <row r="50" spans="2:4" x14ac:dyDescent="0.2">
      <c r="B50" s="7" t="s">
        <v>573</v>
      </c>
      <c r="C50" s="783">
        <f>276598470-15000000</f>
        <v>261598470</v>
      </c>
    </row>
    <row r="51" spans="2:4" x14ac:dyDescent="0.2">
      <c r="B51" s="7" t="s">
        <v>575</v>
      </c>
      <c r="C51" s="783">
        <v>400254</v>
      </c>
    </row>
    <row r="52" spans="2:4" x14ac:dyDescent="0.2">
      <c r="B52" s="7" t="s">
        <v>576</v>
      </c>
      <c r="C52" s="783">
        <v>411814</v>
      </c>
    </row>
    <row r="53" spans="2:4" x14ac:dyDescent="0.2">
      <c r="B53" s="7" t="s">
        <v>586</v>
      </c>
      <c r="C53" s="783">
        <v>425430</v>
      </c>
      <c r="D53" s="781">
        <f>SUM(C51:C53)</f>
        <v>1237498</v>
      </c>
    </row>
    <row r="54" spans="2:4" x14ac:dyDescent="0.2">
      <c r="B54" s="7" t="s">
        <v>566</v>
      </c>
      <c r="C54" s="781">
        <v>100000</v>
      </c>
    </row>
    <row r="55" spans="2:4" x14ac:dyDescent="0.2">
      <c r="B55" s="7" t="s">
        <v>567</v>
      </c>
      <c r="C55" s="781">
        <v>100000</v>
      </c>
    </row>
    <row r="56" spans="2:4" x14ac:dyDescent="0.2">
      <c r="B56" s="7" t="s">
        <v>569</v>
      </c>
      <c r="C56" s="781">
        <v>200000</v>
      </c>
    </row>
    <row r="57" spans="2:4" x14ac:dyDescent="0.2">
      <c r="B57" s="7" t="s">
        <v>570</v>
      </c>
      <c r="C57" s="781">
        <v>1318000</v>
      </c>
    </row>
    <row r="58" spans="2:4" x14ac:dyDescent="0.2">
      <c r="B58" s="7" t="s">
        <v>571</v>
      </c>
      <c r="C58" s="781">
        <v>250000</v>
      </c>
    </row>
    <row r="59" spans="2:4" x14ac:dyDescent="0.2">
      <c r="B59" s="7" t="s">
        <v>572</v>
      </c>
      <c r="C59" s="781">
        <v>200000</v>
      </c>
    </row>
    <row r="60" spans="2:4" x14ac:dyDescent="0.2">
      <c r="B60" s="7" t="s">
        <v>574</v>
      </c>
      <c r="C60" s="781">
        <v>1150000</v>
      </c>
    </row>
    <row r="61" spans="2:4" x14ac:dyDescent="0.2">
      <c r="B61" s="7" t="s">
        <v>578</v>
      </c>
      <c r="C61" s="781">
        <v>145000</v>
      </c>
    </row>
    <row r="62" spans="2:4" x14ac:dyDescent="0.2">
      <c r="B62" s="7" t="s">
        <v>579</v>
      </c>
      <c r="C62" s="781">
        <v>100000</v>
      </c>
    </row>
    <row r="63" spans="2:4" x14ac:dyDescent="0.2">
      <c r="B63" s="7" t="s">
        <v>580</v>
      </c>
      <c r="C63" s="781">
        <v>1932000</v>
      </c>
    </row>
    <row r="64" spans="2:4" x14ac:dyDescent="0.2">
      <c r="B64" s="7" t="s">
        <v>584</v>
      </c>
      <c r="C64" s="781">
        <v>498000</v>
      </c>
    </row>
    <row r="65" spans="2:5" x14ac:dyDescent="0.2">
      <c r="B65" s="7" t="s">
        <v>585</v>
      </c>
      <c r="C65" s="781">
        <v>1041100</v>
      </c>
      <c r="D65" s="781">
        <f>SUM(C54:C65)</f>
        <v>7034100</v>
      </c>
    </row>
    <row r="66" spans="2:5" x14ac:dyDescent="0.2">
      <c r="B66" s="7" t="s">
        <v>583</v>
      </c>
      <c r="C66" s="782">
        <v>3000000</v>
      </c>
    </row>
    <row r="67" spans="2:5" x14ac:dyDescent="0.2">
      <c r="B67" s="7" t="s">
        <v>577</v>
      </c>
      <c r="C67" s="783">
        <v>1100000</v>
      </c>
    </row>
    <row r="68" spans="2:5" x14ac:dyDescent="0.2">
      <c r="B68" s="7" t="s">
        <v>582</v>
      </c>
      <c r="C68" s="783">
        <v>200000</v>
      </c>
    </row>
    <row r="69" spans="2:5" x14ac:dyDescent="0.2">
      <c r="B69" s="7" t="s">
        <v>581</v>
      </c>
      <c r="C69" s="783">
        <v>164500</v>
      </c>
    </row>
    <row r="70" spans="2:5" x14ac:dyDescent="0.2">
      <c r="B70" s="7" t="s">
        <v>568</v>
      </c>
      <c r="C70" s="783">
        <v>11176000</v>
      </c>
      <c r="D70" s="7">
        <v>12192000</v>
      </c>
      <c r="E70" s="781">
        <f>+D70-C70</f>
        <v>1016000</v>
      </c>
    </row>
    <row r="71" spans="2:5" x14ac:dyDescent="0.2">
      <c r="C71" s="781">
        <f>SUM(C54:C70)</f>
        <v>22674600</v>
      </c>
    </row>
    <row r="72" spans="2:5" x14ac:dyDescent="0.2">
      <c r="C72" s="781">
        <v>300510568</v>
      </c>
    </row>
    <row r="73" spans="2:5" x14ac:dyDescent="0.2">
      <c r="C73" s="781">
        <f>+C72-C71</f>
        <v>277835968</v>
      </c>
    </row>
    <row r="74" spans="2:5" x14ac:dyDescent="0.2">
      <c r="C74" s="781"/>
    </row>
    <row r="75" spans="2:5" x14ac:dyDescent="0.2">
      <c r="C75" s="781"/>
    </row>
    <row r="76" spans="2:5" x14ac:dyDescent="0.2">
      <c r="C76" s="781"/>
    </row>
    <row r="77" spans="2:5" x14ac:dyDescent="0.2">
      <c r="C77" s="781"/>
    </row>
    <row r="78" spans="2:5" x14ac:dyDescent="0.2">
      <c r="C78" s="781"/>
    </row>
    <row r="79" spans="2:5" x14ac:dyDescent="0.2">
      <c r="C79" s="781"/>
    </row>
    <row r="80" spans="2:5" x14ac:dyDescent="0.2">
      <c r="C80" s="781"/>
    </row>
    <row r="81" spans="3:3" x14ac:dyDescent="0.2">
      <c r="C81" s="781"/>
    </row>
    <row r="82" spans="3:3" x14ac:dyDescent="0.2">
      <c r="C82" s="781"/>
    </row>
    <row r="83" spans="3:3" x14ac:dyDescent="0.2">
      <c r="C83" s="781"/>
    </row>
  </sheetData>
  <mergeCells count="23">
    <mergeCell ref="C22:F23"/>
    <mergeCell ref="C2:E2"/>
    <mergeCell ref="O5:P5"/>
    <mergeCell ref="G5:I5"/>
    <mergeCell ref="U1:V2"/>
    <mergeCell ref="N1:P2"/>
    <mergeCell ref="R3:U3"/>
    <mergeCell ref="H1:J2"/>
    <mergeCell ref="C3:F3"/>
    <mergeCell ref="G25:I25"/>
    <mergeCell ref="U16:V16"/>
    <mergeCell ref="U5:V5"/>
    <mergeCell ref="U12:V12"/>
    <mergeCell ref="U13:V13"/>
    <mergeCell ref="U14:V14"/>
    <mergeCell ref="U15:V15"/>
    <mergeCell ref="U6:V6"/>
    <mergeCell ref="U7:V7"/>
    <mergeCell ref="U8:V8"/>
    <mergeCell ref="U9:V9"/>
    <mergeCell ref="U10:V10"/>
    <mergeCell ref="H21:J22"/>
    <mergeCell ref="U11:V11"/>
  </mergeCells>
  <phoneticPr fontId="3" type="noConversion"/>
  <printOptions horizontalCentered="1"/>
  <pageMargins left="0.35433070866141736" right="0.55118110236220474" top="0.55118110236220474" bottom="0.78740157480314965" header="0.51181102362204722" footer="0.51181102362204722"/>
  <pageSetup paperSize="9" scale="68" orientation="portrait" r:id="rId1"/>
  <headerFooter alignWithMargins="0"/>
  <colBreaks count="2" manualBreakCount="2">
    <brk id="10" max="44" man="1"/>
    <brk id="16" max="4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-0.249977111117893"/>
  </sheetPr>
  <dimension ref="A1:E28"/>
  <sheetViews>
    <sheetView view="pageBreakPreview" zoomScale="90" zoomScaleNormal="80" zoomScaleSheetLayoutView="90" workbookViewId="0">
      <selection activeCell="E28" sqref="A1:E28"/>
    </sheetView>
  </sheetViews>
  <sheetFormatPr defaultColWidth="9.28515625" defaultRowHeight="15" x14ac:dyDescent="0.25"/>
  <cols>
    <col min="1" max="1" width="7.28515625" style="12" customWidth="1"/>
    <col min="2" max="2" width="47.28515625" style="12" customWidth="1"/>
    <col min="3" max="3" width="16.28515625" style="12" customWidth="1"/>
    <col min="4" max="4" width="17.28515625" style="12" customWidth="1"/>
    <col min="5" max="10" width="9.28515625" style="12"/>
    <col min="11" max="12" width="17.42578125" style="12" bestFit="1" customWidth="1"/>
    <col min="13" max="16384" width="9.28515625" style="12"/>
  </cols>
  <sheetData>
    <row r="1" spans="1:5" x14ac:dyDescent="0.25">
      <c r="A1" s="11"/>
      <c r="D1" s="873" t="s">
        <v>509</v>
      </c>
      <c r="E1" s="903"/>
    </row>
    <row r="2" spans="1:5" ht="21.75" customHeight="1" x14ac:dyDescent="0.25">
      <c r="A2" s="522" t="s">
        <v>534</v>
      </c>
      <c r="C2" s="11"/>
      <c r="D2" s="903"/>
      <c r="E2" s="903"/>
    </row>
    <row r="3" spans="1:5" ht="15" customHeight="1" x14ac:dyDescent="0.25">
      <c r="A3" s="87"/>
      <c r="B3" s="905" t="s">
        <v>337</v>
      </c>
      <c r="C3" s="87"/>
      <c r="D3" s="903"/>
      <c r="E3" s="903"/>
    </row>
    <row r="4" spans="1:5" x14ac:dyDescent="0.25">
      <c r="A4" s="5"/>
      <c r="B4" s="934"/>
      <c r="C4" s="5"/>
    </row>
    <row r="5" spans="1:5" x14ac:dyDescent="0.25">
      <c r="A5" s="11"/>
      <c r="B5" s="11"/>
    </row>
    <row r="6" spans="1:5" s="13" customFormat="1" ht="56.25" customHeight="1" x14ac:dyDescent="0.25">
      <c r="A6" s="143" t="s">
        <v>31</v>
      </c>
      <c r="B6" s="143" t="s">
        <v>32</v>
      </c>
      <c r="C6" s="143" t="s">
        <v>402</v>
      </c>
      <c r="D6" s="143"/>
    </row>
    <row r="7" spans="1:5" x14ac:dyDescent="0.25">
      <c r="A7" s="138" t="s">
        <v>12</v>
      </c>
      <c r="B7" s="150" t="s">
        <v>65</v>
      </c>
      <c r="C7" s="151">
        <v>9.5</v>
      </c>
      <c r="D7" s="151"/>
    </row>
    <row r="8" spans="1:5" x14ac:dyDescent="0.25">
      <c r="A8" s="138"/>
      <c r="B8" s="146" t="s">
        <v>73</v>
      </c>
      <c r="C8" s="147">
        <v>1</v>
      </c>
      <c r="D8" s="147"/>
    </row>
    <row r="9" spans="1:5" x14ac:dyDescent="0.25">
      <c r="A9" s="316"/>
      <c r="B9" s="146" t="s">
        <v>353</v>
      </c>
      <c r="C9" s="147">
        <v>1</v>
      </c>
      <c r="D9" s="147"/>
    </row>
    <row r="10" spans="1:5" x14ac:dyDescent="0.25">
      <c r="A10" s="138"/>
      <c r="B10" s="146" t="s">
        <v>354</v>
      </c>
      <c r="C10" s="147">
        <v>7</v>
      </c>
      <c r="D10" s="140"/>
    </row>
    <row r="11" spans="1:5" x14ac:dyDescent="0.25">
      <c r="A11" s="138"/>
      <c r="B11" s="146" t="s">
        <v>72</v>
      </c>
      <c r="C11" s="147">
        <v>0.5</v>
      </c>
      <c r="D11" s="140"/>
    </row>
    <row r="12" spans="1:5" x14ac:dyDescent="0.25">
      <c r="A12" s="145" t="s">
        <v>13</v>
      </c>
      <c r="B12" s="150" t="s">
        <v>4</v>
      </c>
      <c r="C12" s="151">
        <v>61</v>
      </c>
      <c r="D12" s="142"/>
    </row>
    <row r="13" spans="1:5" x14ac:dyDescent="0.25">
      <c r="A13" s="145" t="s">
        <v>14</v>
      </c>
      <c r="B13" s="150" t="s">
        <v>66</v>
      </c>
      <c r="C13" s="151">
        <v>15</v>
      </c>
      <c r="D13" s="150"/>
    </row>
    <row r="14" spans="1:5" x14ac:dyDescent="0.25">
      <c r="A14" s="145" t="s">
        <v>15</v>
      </c>
      <c r="B14" s="150" t="s">
        <v>242</v>
      </c>
      <c r="C14" s="151">
        <v>42.5</v>
      </c>
      <c r="D14" s="150"/>
    </row>
    <row r="15" spans="1:5" x14ac:dyDescent="0.25">
      <c r="A15" s="145"/>
      <c r="B15" s="140" t="s">
        <v>69</v>
      </c>
      <c r="C15" s="147">
        <v>2</v>
      </c>
      <c r="D15" s="140"/>
    </row>
    <row r="16" spans="1:5" x14ac:dyDescent="0.25">
      <c r="A16" s="145" t="s">
        <v>16</v>
      </c>
      <c r="B16" s="150" t="s">
        <v>67</v>
      </c>
      <c r="C16" s="151">
        <v>30</v>
      </c>
      <c r="D16" s="150"/>
    </row>
    <row r="17" spans="1:4" x14ac:dyDescent="0.25">
      <c r="A17" s="145"/>
      <c r="B17" s="140" t="s">
        <v>69</v>
      </c>
      <c r="C17" s="147">
        <v>2</v>
      </c>
      <c r="D17" s="140"/>
    </row>
    <row r="18" spans="1:4" x14ac:dyDescent="0.25">
      <c r="A18" s="145" t="s">
        <v>17</v>
      </c>
      <c r="B18" s="150" t="s">
        <v>189</v>
      </c>
      <c r="C18" s="151">
        <v>5</v>
      </c>
      <c r="D18" s="150"/>
    </row>
    <row r="19" spans="1:4" x14ac:dyDescent="0.25">
      <c r="A19" s="145" t="s">
        <v>18</v>
      </c>
      <c r="B19" s="150" t="s">
        <v>68</v>
      </c>
      <c r="C19" s="151">
        <v>8</v>
      </c>
      <c r="D19" s="150"/>
    </row>
    <row r="20" spans="1:4" x14ac:dyDescent="0.25">
      <c r="A20" s="145">
        <v>8</v>
      </c>
      <c r="B20" s="150" t="s">
        <v>214</v>
      </c>
      <c r="C20" s="151">
        <v>30</v>
      </c>
      <c r="D20" s="150"/>
    </row>
    <row r="21" spans="1:4" x14ac:dyDescent="0.25">
      <c r="A21" s="138" t="s">
        <v>20</v>
      </c>
      <c r="B21" s="150" t="s">
        <v>355</v>
      </c>
      <c r="C21" s="151">
        <v>10.5</v>
      </c>
      <c r="D21" s="140"/>
    </row>
    <row r="22" spans="1:4" x14ac:dyDescent="0.25">
      <c r="A22" s="148"/>
      <c r="C22" s="334"/>
      <c r="D22" s="141"/>
    </row>
    <row r="23" spans="1:4" x14ac:dyDescent="0.25">
      <c r="A23" s="148"/>
      <c r="B23" s="141"/>
      <c r="C23" s="233"/>
      <c r="D23" s="149"/>
    </row>
    <row r="24" spans="1:4" x14ac:dyDescent="0.25">
      <c r="A24" s="63"/>
      <c r="B24" s="141"/>
      <c r="C24" s="233"/>
      <c r="D24" s="63"/>
    </row>
    <row r="25" spans="1:4" x14ac:dyDescent="0.25">
      <c r="A25" s="63"/>
      <c r="B25" s="149"/>
      <c r="C25" s="63"/>
      <c r="D25" s="63"/>
    </row>
    <row r="26" spans="1:4" x14ac:dyDescent="0.25">
      <c r="A26" s="63"/>
      <c r="B26" s="63"/>
      <c r="C26" s="63"/>
      <c r="D26" s="63"/>
    </row>
    <row r="27" spans="1:4" x14ac:dyDescent="0.25">
      <c r="A27" s="63"/>
      <c r="B27" s="63"/>
      <c r="C27" s="63"/>
      <c r="D27" s="63"/>
    </row>
    <row r="28" spans="1:4" x14ac:dyDescent="0.25">
      <c r="A28" s="63"/>
      <c r="B28" s="63"/>
      <c r="C28" s="63"/>
      <c r="D28" s="63"/>
    </row>
  </sheetData>
  <mergeCells count="2">
    <mergeCell ref="B3:B4"/>
    <mergeCell ref="D1:E3"/>
  </mergeCells>
  <phoneticPr fontId="3" type="noConversion"/>
  <printOptions horizontalCentered="1"/>
  <pageMargins left="0.43307086614173229" right="0.39370078740157483" top="0.59055118110236227" bottom="0.98425196850393704" header="0.51181102362204722" footer="0.51181102362204722"/>
  <pageSetup paperSize="9" scale="9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-0.249977111117893"/>
    <pageSetUpPr fitToPage="1"/>
  </sheetPr>
  <dimension ref="A1:G15"/>
  <sheetViews>
    <sheetView view="pageBreakPreview" zoomScale="115" zoomScaleNormal="100" zoomScaleSheetLayoutView="115" workbookViewId="0">
      <selection activeCell="E16" sqref="A1:E16"/>
    </sheetView>
  </sheetViews>
  <sheetFormatPr defaultColWidth="9.28515625" defaultRowHeight="15" x14ac:dyDescent="0.25"/>
  <cols>
    <col min="1" max="1" width="8.28515625" style="12" customWidth="1"/>
    <col min="2" max="2" width="35.7109375" style="12" customWidth="1"/>
    <col min="3" max="3" width="20.42578125" style="12" customWidth="1"/>
    <col min="4" max="4" width="19.28515625" style="12" customWidth="1"/>
    <col min="5" max="5" width="20.28515625" style="12" customWidth="1"/>
    <col min="6" max="6" width="19.5703125" style="12" customWidth="1"/>
    <col min="7" max="7" width="12.28515625" style="12" customWidth="1"/>
    <col min="8" max="8" width="18.28515625" style="12" customWidth="1"/>
    <col min="9" max="13" width="9.28515625" style="12" customWidth="1"/>
    <col min="14" max="16384" width="9.28515625" style="12"/>
  </cols>
  <sheetData>
    <row r="1" spans="1:7" ht="14.45" customHeight="1" x14ac:dyDescent="0.25">
      <c r="A1" s="504" t="s">
        <v>535</v>
      </c>
      <c r="B1" s="523"/>
      <c r="D1" s="873" t="s">
        <v>510</v>
      </c>
      <c r="E1" s="903"/>
      <c r="F1" s="112"/>
      <c r="G1" s="112"/>
    </row>
    <row r="2" spans="1:7" ht="27.6" customHeight="1" x14ac:dyDescent="0.25">
      <c r="A2" s="90"/>
      <c r="B2" s="877" t="s">
        <v>77</v>
      </c>
      <c r="C2" s="877"/>
      <c r="D2" s="903"/>
      <c r="E2" s="903"/>
      <c r="F2" s="112"/>
      <c r="G2" s="112"/>
    </row>
    <row r="3" spans="1:7" x14ac:dyDescent="0.25">
      <c r="A3" s="91"/>
      <c r="B3" s="937" t="s">
        <v>78</v>
      </c>
      <c r="C3" s="937"/>
      <c r="D3" s="903"/>
      <c r="E3" s="903"/>
      <c r="F3" s="112"/>
      <c r="G3" s="112"/>
    </row>
    <row r="4" spans="1:7" x14ac:dyDescent="0.25">
      <c r="A4" s="91"/>
      <c r="B4" s="91"/>
      <c r="C4" s="91"/>
      <c r="D4" s="92"/>
      <c r="E4" s="92"/>
      <c r="F4" s="92"/>
      <c r="G4" s="92"/>
    </row>
    <row r="5" spans="1:7" x14ac:dyDescent="0.25">
      <c r="A5" s="90"/>
      <c r="B5" s="90"/>
      <c r="C5" s="88"/>
      <c r="D5" s="51" t="s">
        <v>400</v>
      </c>
      <c r="F5" s="93"/>
      <c r="G5" s="93"/>
    </row>
    <row r="6" spans="1:7" ht="48" x14ac:dyDescent="0.25">
      <c r="A6" s="130" t="s">
        <v>31</v>
      </c>
      <c r="B6" s="130" t="s">
        <v>32</v>
      </c>
      <c r="C6" s="275" t="s">
        <v>306</v>
      </c>
      <c r="D6" s="275" t="s">
        <v>307</v>
      </c>
      <c r="F6" s="113"/>
    </row>
    <row r="7" spans="1:7" ht="14.25" customHeight="1" x14ac:dyDescent="0.25">
      <c r="A7" s="16"/>
      <c r="B7" s="18" t="s">
        <v>356</v>
      </c>
      <c r="C7" s="142">
        <f>SUM(C8:C12)</f>
        <v>150000000</v>
      </c>
      <c r="D7" s="142">
        <v>0</v>
      </c>
      <c r="E7" s="113"/>
      <c r="F7" s="113"/>
    </row>
    <row r="8" spans="1:7" x14ac:dyDescent="0.25">
      <c r="A8" s="16"/>
      <c r="B8" s="31" t="s">
        <v>5</v>
      </c>
      <c r="C8" s="277">
        <v>150000000</v>
      </c>
      <c r="D8" s="277">
        <v>106500000</v>
      </c>
      <c r="E8" s="113"/>
      <c r="F8" s="113"/>
    </row>
    <row r="9" spans="1:7" x14ac:dyDescent="0.25">
      <c r="A9" s="16"/>
      <c r="B9" s="31" t="s">
        <v>330</v>
      </c>
      <c r="C9" s="237">
        <v>0</v>
      </c>
      <c r="D9" s="277">
        <v>0</v>
      </c>
      <c r="E9" s="113"/>
      <c r="F9" s="113"/>
    </row>
    <row r="10" spans="1:7" x14ac:dyDescent="0.25">
      <c r="A10" s="254"/>
      <c r="B10" s="146" t="s">
        <v>329</v>
      </c>
      <c r="C10" s="251">
        <v>0</v>
      </c>
      <c r="D10" s="277">
        <v>106500000</v>
      </c>
      <c r="E10" s="253"/>
      <c r="F10" s="253"/>
    </row>
    <row r="11" spans="1:7" x14ac:dyDescent="0.25">
      <c r="A11" s="16"/>
      <c r="B11" s="94" t="s">
        <v>357</v>
      </c>
      <c r="C11" s="142">
        <v>0</v>
      </c>
      <c r="D11" s="252"/>
      <c r="E11" s="113"/>
      <c r="F11" s="113"/>
    </row>
    <row r="12" spans="1:7" x14ac:dyDescent="0.25">
      <c r="A12" s="74"/>
      <c r="B12" s="31" t="s">
        <v>76</v>
      </c>
      <c r="C12" s="237"/>
      <c r="D12" s="277"/>
      <c r="E12" s="113"/>
      <c r="F12" s="113"/>
    </row>
    <row r="13" spans="1:7" x14ac:dyDescent="0.25">
      <c r="A13" s="16"/>
      <c r="B13" s="94" t="s">
        <v>359</v>
      </c>
      <c r="C13" s="935" t="s">
        <v>358</v>
      </c>
      <c r="D13" s="142">
        <f>SUM(D14)</f>
        <v>60000000</v>
      </c>
      <c r="E13" s="113"/>
      <c r="F13" s="113"/>
    </row>
    <row r="14" spans="1:7" x14ac:dyDescent="0.25">
      <c r="A14" s="16"/>
      <c r="B14" s="31" t="s">
        <v>360</v>
      </c>
      <c r="C14" s="936"/>
      <c r="D14" s="276">
        <v>60000000</v>
      </c>
      <c r="E14" s="113"/>
      <c r="F14" s="113"/>
    </row>
    <row r="15" spans="1:7" ht="14.25" customHeight="1" x14ac:dyDescent="0.25">
      <c r="A15" s="16"/>
      <c r="B15" s="18"/>
      <c r="C15" s="158"/>
      <c r="D15" s="110"/>
      <c r="E15" s="113"/>
      <c r="F15" s="113"/>
    </row>
  </sheetData>
  <mergeCells count="4">
    <mergeCell ref="D1:E3"/>
    <mergeCell ref="C13:C14"/>
    <mergeCell ref="B2:C2"/>
    <mergeCell ref="B3:C3"/>
  </mergeCells>
  <phoneticPr fontId="3" type="noConversion"/>
  <pageMargins left="0.56999999999999995" right="0.84" top="1" bottom="1" header="0.5" footer="0.5"/>
  <pageSetup paperSize="9" scale="8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-0.249977111117893"/>
  </sheetPr>
  <dimension ref="A1:AH41"/>
  <sheetViews>
    <sheetView view="pageBreakPreview" topLeftCell="U1" zoomScale="115" zoomScaleNormal="100" zoomScaleSheetLayoutView="115" zoomScalePageLayoutView="80" workbookViewId="0">
      <selection activeCell="AA3" sqref="AA3:AB3"/>
    </sheetView>
  </sheetViews>
  <sheetFormatPr defaultColWidth="9.28515625" defaultRowHeight="15" x14ac:dyDescent="0.25"/>
  <cols>
    <col min="1" max="1" width="4.42578125" style="12" customWidth="1"/>
    <col min="2" max="2" width="37.42578125" style="12" customWidth="1"/>
    <col min="3" max="6" width="13.140625" style="12" customWidth="1"/>
    <col min="7" max="8" width="13.140625" style="180" customWidth="1"/>
    <col min="9" max="9" width="13.140625" style="12" customWidth="1"/>
    <col min="10" max="10" width="35.5703125" style="12" customWidth="1"/>
    <col min="11" max="13" width="10.28515625" style="12" customWidth="1"/>
    <col min="14" max="14" width="10.28515625" style="180" customWidth="1"/>
    <col min="15" max="17" width="10.28515625" style="12" customWidth="1"/>
    <col min="18" max="18" width="7.42578125" style="12" customWidth="1"/>
    <col min="19" max="19" width="29.5703125" style="12" bestFit="1" customWidth="1"/>
    <col min="20" max="21" width="11.28515625" style="12" customWidth="1"/>
    <col min="22" max="22" width="11.28515625" style="180" customWidth="1"/>
    <col min="23" max="26" width="11.28515625" style="12" customWidth="1"/>
    <col min="27" max="27" width="29" style="12" bestFit="1" customWidth="1"/>
    <col min="28" max="34" width="11.42578125" style="12" customWidth="1"/>
    <col min="35" max="16384" width="9.28515625" style="12"/>
  </cols>
  <sheetData>
    <row r="1" spans="1:34" s="450" customFormat="1" ht="17.25" customHeight="1" x14ac:dyDescent="0.25">
      <c r="A1" s="449"/>
      <c r="B1" s="524"/>
      <c r="C1" s="449"/>
      <c r="D1" s="449"/>
      <c r="E1" s="449"/>
      <c r="F1" s="449"/>
      <c r="G1" s="476"/>
      <c r="H1" s="476"/>
      <c r="I1" s="449"/>
      <c r="J1" s="182"/>
      <c r="K1" s="517"/>
      <c r="L1" s="517"/>
      <c r="O1" s="942" t="s">
        <v>511</v>
      </c>
      <c r="P1" s="942"/>
      <c r="Q1" s="942"/>
      <c r="R1" s="449"/>
      <c r="S1" s="524"/>
      <c r="T1" s="449"/>
      <c r="U1" s="449"/>
      <c r="V1" s="476"/>
      <c r="W1" s="449"/>
      <c r="X1" s="182"/>
      <c r="Y1" s="517"/>
      <c r="Z1" s="517"/>
      <c r="AF1" s="942" t="s">
        <v>512</v>
      </c>
      <c r="AG1" s="942"/>
      <c r="AH1" s="942"/>
    </row>
    <row r="2" spans="1:34" s="450" customFormat="1" ht="15" customHeight="1" x14ac:dyDescent="0.25">
      <c r="B2" s="518"/>
      <c r="C2" s="518"/>
      <c r="D2" s="518"/>
      <c r="O2" s="942"/>
      <c r="P2" s="942"/>
      <c r="Q2" s="942"/>
      <c r="X2" s="183"/>
      <c r="Y2" s="183"/>
      <c r="Z2" s="183"/>
      <c r="AF2" s="942"/>
      <c r="AG2" s="942"/>
      <c r="AH2" s="942"/>
    </row>
    <row r="3" spans="1:34" s="450" customFormat="1" ht="15" customHeight="1" x14ac:dyDescent="0.25">
      <c r="A3" s="451"/>
      <c r="B3" s="451"/>
      <c r="C3" s="451"/>
      <c r="D3" s="451"/>
      <c r="E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AA3" s="941"/>
      <c r="AB3" s="941"/>
    </row>
    <row r="4" spans="1:34" s="452" customFormat="1" x14ac:dyDescent="0.25">
      <c r="A4" s="209"/>
      <c r="B4" s="939" t="s">
        <v>622</v>
      </c>
      <c r="C4" s="939"/>
      <c r="D4" s="939"/>
      <c r="E4" s="939"/>
      <c r="F4" s="939"/>
      <c r="G4" s="939"/>
      <c r="H4" s="939"/>
      <c r="I4" s="939"/>
      <c r="J4" s="939" t="s">
        <v>623</v>
      </c>
      <c r="K4" s="939"/>
      <c r="L4" s="939"/>
      <c r="M4" s="939"/>
      <c r="N4" s="939"/>
      <c r="O4" s="939"/>
      <c r="P4" s="939"/>
      <c r="Q4" s="939"/>
      <c r="R4" s="209"/>
      <c r="S4" s="939" t="s">
        <v>624</v>
      </c>
      <c r="T4" s="939"/>
      <c r="U4" s="939"/>
      <c r="V4" s="939"/>
      <c r="W4" s="939"/>
      <c r="X4" s="939"/>
      <c r="Y4" s="939"/>
      <c r="Z4" s="939"/>
      <c r="AA4" s="939" t="s">
        <v>625</v>
      </c>
      <c r="AB4" s="939"/>
      <c r="AC4" s="939"/>
      <c r="AD4" s="939"/>
      <c r="AE4" s="939"/>
      <c r="AF4" s="939"/>
      <c r="AG4" s="939"/>
      <c r="AH4" s="939"/>
    </row>
    <row r="5" spans="1:34" s="450" customFormat="1" ht="14.1" customHeight="1" thickBot="1" x14ac:dyDescent="0.3">
      <c r="A5" s="451"/>
      <c r="B5" s="451"/>
      <c r="C5" s="451"/>
      <c r="D5" s="451"/>
      <c r="E5" s="451"/>
      <c r="F5" s="451"/>
      <c r="G5" s="940" t="s">
        <v>400</v>
      </c>
      <c r="H5" s="940"/>
      <c r="I5" s="940"/>
      <c r="J5" s="451"/>
      <c r="K5" s="451"/>
      <c r="L5" s="451"/>
      <c r="M5" s="209"/>
      <c r="N5" s="209"/>
      <c r="P5" s="938" t="s">
        <v>400</v>
      </c>
      <c r="Q5" s="938"/>
      <c r="R5" s="451"/>
      <c r="S5" s="451"/>
      <c r="T5" s="451"/>
      <c r="U5" s="451"/>
      <c r="V5" s="451"/>
      <c r="W5" s="451"/>
      <c r="X5" s="451"/>
      <c r="Y5" s="938" t="s">
        <v>400</v>
      </c>
      <c r="Z5" s="938"/>
      <c r="AA5" s="451"/>
      <c r="AB5" s="451"/>
      <c r="AC5" s="451"/>
      <c r="AD5" s="209"/>
      <c r="AE5" s="209"/>
      <c r="AG5" s="938" t="s">
        <v>400</v>
      </c>
      <c r="AH5" s="938"/>
    </row>
    <row r="6" spans="1:34" s="450" customFormat="1" ht="45.75" thickBot="1" x14ac:dyDescent="0.3">
      <c r="A6" s="823" t="s">
        <v>31</v>
      </c>
      <c r="B6" s="824" t="s">
        <v>32</v>
      </c>
      <c r="C6" s="825" t="s">
        <v>594</v>
      </c>
      <c r="D6" s="826" t="s">
        <v>595</v>
      </c>
      <c r="E6" s="826" t="s">
        <v>596</v>
      </c>
      <c r="F6" s="826" t="s">
        <v>597</v>
      </c>
      <c r="G6" s="826" t="s">
        <v>598</v>
      </c>
      <c r="H6" s="826" t="s">
        <v>599</v>
      </c>
      <c r="I6" s="826" t="s">
        <v>600</v>
      </c>
      <c r="J6" s="827" t="s">
        <v>32</v>
      </c>
      <c r="K6" s="825" t="s">
        <v>594</v>
      </c>
      <c r="L6" s="826" t="s">
        <v>595</v>
      </c>
      <c r="M6" s="826" t="s">
        <v>596</v>
      </c>
      <c r="N6" s="826" t="s">
        <v>597</v>
      </c>
      <c r="O6" s="826" t="s">
        <v>598</v>
      </c>
      <c r="P6" s="826" t="s">
        <v>599</v>
      </c>
      <c r="Q6" s="826" t="s">
        <v>600</v>
      </c>
      <c r="R6" s="823" t="s">
        <v>31</v>
      </c>
      <c r="S6" s="824" t="s">
        <v>32</v>
      </c>
      <c r="T6" s="825" t="s">
        <v>594</v>
      </c>
      <c r="U6" s="826" t="s">
        <v>595</v>
      </c>
      <c r="V6" s="826" t="s">
        <v>596</v>
      </c>
      <c r="W6" s="826" t="s">
        <v>597</v>
      </c>
      <c r="X6" s="826" t="s">
        <v>598</v>
      </c>
      <c r="Y6" s="826" t="s">
        <v>599</v>
      </c>
      <c r="Z6" s="826" t="s">
        <v>600</v>
      </c>
      <c r="AA6" s="827" t="s">
        <v>32</v>
      </c>
      <c r="AB6" s="825" t="s">
        <v>594</v>
      </c>
      <c r="AC6" s="826" t="s">
        <v>595</v>
      </c>
      <c r="AD6" s="826" t="s">
        <v>596</v>
      </c>
      <c r="AE6" s="826" t="s">
        <v>597</v>
      </c>
      <c r="AF6" s="826" t="s">
        <v>598</v>
      </c>
      <c r="AG6" s="826" t="s">
        <v>599</v>
      </c>
      <c r="AH6" s="826" t="s">
        <v>601</v>
      </c>
    </row>
    <row r="7" spans="1:34" s="450" customFormat="1" ht="22.5" x14ac:dyDescent="0.25">
      <c r="A7" s="828" t="s">
        <v>12</v>
      </c>
      <c r="B7" s="829" t="s">
        <v>79</v>
      </c>
      <c r="C7" s="830">
        <v>811553548</v>
      </c>
      <c r="D7" s="831">
        <v>968787014</v>
      </c>
      <c r="E7" s="832">
        <v>0</v>
      </c>
      <c r="F7" s="832">
        <v>0</v>
      </c>
      <c r="G7" s="832">
        <v>0</v>
      </c>
      <c r="H7" s="833">
        <v>811553548</v>
      </c>
      <c r="I7" s="833">
        <v>968787014</v>
      </c>
      <c r="J7" s="834" t="s">
        <v>7</v>
      </c>
      <c r="K7" s="835">
        <v>814708000</v>
      </c>
      <c r="L7" s="833">
        <v>896553800</v>
      </c>
      <c r="M7" s="833">
        <v>0</v>
      </c>
      <c r="N7" s="833">
        <v>0</v>
      </c>
      <c r="O7" s="831">
        <v>0</v>
      </c>
      <c r="P7" s="831">
        <v>814708000</v>
      </c>
      <c r="Q7" s="831">
        <v>896553800</v>
      </c>
      <c r="R7" s="828" t="s">
        <v>12</v>
      </c>
      <c r="S7" s="829" t="s">
        <v>161</v>
      </c>
      <c r="T7" s="830">
        <v>711000000</v>
      </c>
      <c r="U7" s="831">
        <v>678890000</v>
      </c>
      <c r="V7" s="836">
        <v>0</v>
      </c>
      <c r="W7" s="836">
        <v>0</v>
      </c>
      <c r="X7" s="836">
        <v>0</v>
      </c>
      <c r="Y7" s="833">
        <v>711000000</v>
      </c>
      <c r="Z7" s="833">
        <v>678890000</v>
      </c>
      <c r="AA7" s="834" t="s">
        <v>10</v>
      </c>
      <c r="AB7" s="830">
        <v>1461753000</v>
      </c>
      <c r="AC7" s="831">
        <v>1032358163</v>
      </c>
      <c r="AD7" s="831">
        <v>0</v>
      </c>
      <c r="AE7" s="831">
        <v>0</v>
      </c>
      <c r="AF7" s="831">
        <v>0</v>
      </c>
      <c r="AG7" s="831">
        <v>1461753000</v>
      </c>
      <c r="AH7" s="833">
        <v>1032358163</v>
      </c>
    </row>
    <row r="8" spans="1:34" s="450" customFormat="1" ht="22.5" x14ac:dyDescent="0.25">
      <c r="A8" s="837" t="s">
        <v>13</v>
      </c>
      <c r="B8" s="838" t="s">
        <v>131</v>
      </c>
      <c r="C8" s="839">
        <v>124471452</v>
      </c>
      <c r="D8" s="84">
        <v>122484969</v>
      </c>
      <c r="E8" s="84">
        <v>0</v>
      </c>
      <c r="F8" s="84">
        <v>0</v>
      </c>
      <c r="G8" s="84">
        <v>0</v>
      </c>
      <c r="H8" s="81">
        <v>124471452</v>
      </c>
      <c r="I8" s="81">
        <v>122484969</v>
      </c>
      <c r="J8" s="840" t="s">
        <v>8</v>
      </c>
      <c r="K8" s="841">
        <v>151832000</v>
      </c>
      <c r="L8" s="81">
        <v>152906660</v>
      </c>
      <c r="M8" s="81">
        <v>0</v>
      </c>
      <c r="N8" s="81">
        <v>0</v>
      </c>
      <c r="O8" s="84">
        <v>0</v>
      </c>
      <c r="P8" s="84">
        <v>151832000</v>
      </c>
      <c r="Q8" s="84">
        <v>152906660</v>
      </c>
      <c r="R8" s="837" t="s">
        <v>13</v>
      </c>
      <c r="S8" s="838" t="s">
        <v>89</v>
      </c>
      <c r="T8" s="839">
        <v>281000000</v>
      </c>
      <c r="U8" s="84">
        <v>38600177</v>
      </c>
      <c r="V8" s="82">
        <v>0</v>
      </c>
      <c r="W8" s="82">
        <v>0</v>
      </c>
      <c r="X8" s="82">
        <v>0</v>
      </c>
      <c r="Y8" s="833">
        <v>281000000</v>
      </c>
      <c r="Z8" s="833">
        <v>38600177</v>
      </c>
      <c r="AA8" s="840" t="s">
        <v>11</v>
      </c>
      <c r="AB8" s="839">
        <v>125000000</v>
      </c>
      <c r="AC8" s="84">
        <v>148514000</v>
      </c>
      <c r="AD8" s="84">
        <v>0</v>
      </c>
      <c r="AE8" s="84">
        <v>0</v>
      </c>
      <c r="AF8" s="84">
        <v>0</v>
      </c>
      <c r="AG8" s="84">
        <v>125000000</v>
      </c>
      <c r="AH8" s="81">
        <v>148514000</v>
      </c>
    </row>
    <row r="9" spans="1:34" s="450" customFormat="1" x14ac:dyDescent="0.25">
      <c r="A9" s="837" t="s">
        <v>14</v>
      </c>
      <c r="B9" s="838" t="s">
        <v>87</v>
      </c>
      <c r="C9" s="839">
        <v>1000144000</v>
      </c>
      <c r="D9" s="84">
        <v>983438292</v>
      </c>
      <c r="E9" s="84">
        <v>99856000</v>
      </c>
      <c r="F9" s="84">
        <v>88561708</v>
      </c>
      <c r="G9" s="84">
        <v>0</v>
      </c>
      <c r="H9" s="81">
        <v>1100000000</v>
      </c>
      <c r="I9" s="81">
        <v>1072000000</v>
      </c>
      <c r="J9" s="842" t="s">
        <v>132</v>
      </c>
      <c r="K9" s="841">
        <v>699265000</v>
      </c>
      <c r="L9" s="81">
        <v>759001886</v>
      </c>
      <c r="M9" s="81">
        <v>0</v>
      </c>
      <c r="N9" s="81">
        <v>0</v>
      </c>
      <c r="O9" s="84">
        <v>0</v>
      </c>
      <c r="P9" s="84">
        <v>699265000</v>
      </c>
      <c r="Q9" s="84">
        <v>759001886</v>
      </c>
      <c r="R9" s="837" t="s">
        <v>14</v>
      </c>
      <c r="S9" s="838" t="s">
        <v>91</v>
      </c>
      <c r="T9" s="843">
        <v>0</v>
      </c>
      <c r="U9" s="82">
        <v>1152875</v>
      </c>
      <c r="V9" s="82">
        <v>0</v>
      </c>
      <c r="W9" s="82">
        <v>0</v>
      </c>
      <c r="X9" s="82">
        <v>0</v>
      </c>
      <c r="Y9" s="833">
        <v>0</v>
      </c>
      <c r="Z9" s="833">
        <v>1152875</v>
      </c>
      <c r="AA9" s="842" t="s">
        <v>167</v>
      </c>
      <c r="AB9" s="839">
        <v>0</v>
      </c>
      <c r="AC9" s="84">
        <v>0</v>
      </c>
      <c r="AD9" s="84">
        <v>0</v>
      </c>
      <c r="AE9" s="84">
        <v>0</v>
      </c>
      <c r="AF9" s="84">
        <v>0</v>
      </c>
      <c r="AG9" s="84">
        <v>0</v>
      </c>
      <c r="AH9" s="81">
        <v>0</v>
      </c>
    </row>
    <row r="10" spans="1:34" s="450" customFormat="1" x14ac:dyDescent="0.25">
      <c r="A10" s="837" t="s">
        <v>15</v>
      </c>
      <c r="B10" s="838" t="s">
        <v>90</v>
      </c>
      <c r="C10" s="843">
        <v>0</v>
      </c>
      <c r="D10" s="82">
        <v>8271842</v>
      </c>
      <c r="E10" s="82">
        <v>0</v>
      </c>
      <c r="F10" s="82">
        <v>0</v>
      </c>
      <c r="G10" s="82">
        <v>0</v>
      </c>
      <c r="H10" s="81">
        <v>0</v>
      </c>
      <c r="I10" s="81">
        <v>8271842</v>
      </c>
      <c r="J10" s="840" t="s">
        <v>49</v>
      </c>
      <c r="K10" s="841">
        <v>0</v>
      </c>
      <c r="L10" s="81">
        <v>0</v>
      </c>
      <c r="M10" s="81">
        <v>17000000</v>
      </c>
      <c r="N10" s="81">
        <v>19523608</v>
      </c>
      <c r="O10" s="84">
        <v>0</v>
      </c>
      <c r="P10" s="84">
        <v>17000000</v>
      </c>
      <c r="Q10" s="84">
        <v>19523608</v>
      </c>
      <c r="R10" s="837" t="s">
        <v>15</v>
      </c>
      <c r="S10" s="838" t="s">
        <v>162</v>
      </c>
      <c r="T10" s="843">
        <v>0</v>
      </c>
      <c r="U10" s="82">
        <v>0</v>
      </c>
      <c r="V10" s="82">
        <v>0</v>
      </c>
      <c r="W10" s="82">
        <v>0</v>
      </c>
      <c r="X10" s="82">
        <v>0</v>
      </c>
      <c r="Y10" s="81">
        <v>0</v>
      </c>
      <c r="Z10" s="81">
        <v>0</v>
      </c>
      <c r="AA10" s="840"/>
      <c r="AB10" s="839"/>
      <c r="AC10" s="84"/>
      <c r="AD10" s="84"/>
      <c r="AE10" s="84"/>
      <c r="AF10" s="84"/>
      <c r="AG10" s="84"/>
      <c r="AH10" s="844"/>
    </row>
    <row r="11" spans="1:34" s="450" customFormat="1" x14ac:dyDescent="0.25">
      <c r="A11" s="837" t="s">
        <v>16</v>
      </c>
      <c r="B11" s="838" t="s">
        <v>88</v>
      </c>
      <c r="C11" s="839">
        <v>341996000</v>
      </c>
      <c r="D11" s="84">
        <v>284094273</v>
      </c>
      <c r="E11" s="84">
        <v>0</v>
      </c>
      <c r="F11" s="84">
        <v>0</v>
      </c>
      <c r="G11" s="84">
        <v>0</v>
      </c>
      <c r="H11" s="81">
        <v>341996000</v>
      </c>
      <c r="I11" s="81">
        <v>284094273</v>
      </c>
      <c r="J11" s="840" t="s">
        <v>602</v>
      </c>
      <c r="K11" s="841">
        <v>599938000</v>
      </c>
      <c r="L11" s="81">
        <v>589121854</v>
      </c>
      <c r="M11" s="81">
        <v>82856000</v>
      </c>
      <c r="N11" s="81">
        <v>69038100</v>
      </c>
      <c r="O11" s="84">
        <v>0</v>
      </c>
      <c r="P11" s="84">
        <v>682794000</v>
      </c>
      <c r="Q11" s="84">
        <v>658159954</v>
      </c>
      <c r="R11" s="837" t="s">
        <v>16</v>
      </c>
      <c r="S11" s="838"/>
      <c r="T11" s="843"/>
      <c r="U11" s="82"/>
      <c r="V11" s="80"/>
      <c r="W11" s="80"/>
      <c r="X11" s="80"/>
      <c r="Y11" s="83"/>
      <c r="Z11" s="83"/>
      <c r="AA11" s="840"/>
      <c r="AB11" s="839"/>
      <c r="AC11" s="84"/>
      <c r="AD11" s="84"/>
      <c r="AE11" s="84"/>
      <c r="AF11" s="84"/>
      <c r="AG11" s="84"/>
      <c r="AH11" s="844"/>
    </row>
    <row r="12" spans="1:34" s="476" customFormat="1" x14ac:dyDescent="0.25">
      <c r="A12" s="837" t="s">
        <v>17</v>
      </c>
      <c r="B12" s="845"/>
      <c r="C12" s="843"/>
      <c r="D12" s="82"/>
      <c r="E12" s="80"/>
      <c r="F12" s="80"/>
      <c r="G12" s="82"/>
      <c r="H12" s="81"/>
      <c r="I12" s="81"/>
      <c r="J12" s="840" t="s">
        <v>9</v>
      </c>
      <c r="K12" s="839"/>
      <c r="L12" s="84"/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37" t="s">
        <v>17</v>
      </c>
      <c r="S12" s="845"/>
      <c r="T12" s="843"/>
      <c r="U12" s="82"/>
      <c r="V12" s="80"/>
      <c r="W12" s="80"/>
      <c r="X12" s="80"/>
      <c r="Y12" s="83"/>
      <c r="Z12" s="83"/>
      <c r="AA12" s="840"/>
      <c r="AB12" s="839"/>
      <c r="AC12" s="84"/>
      <c r="AD12" s="84"/>
      <c r="AE12" s="84"/>
      <c r="AF12" s="84"/>
      <c r="AG12" s="84"/>
      <c r="AH12" s="844"/>
    </row>
    <row r="13" spans="1:34" s="476" customFormat="1" ht="22.5" x14ac:dyDescent="0.25">
      <c r="A13" s="848" t="s">
        <v>17</v>
      </c>
      <c r="B13" s="845" t="s">
        <v>159</v>
      </c>
      <c r="C13" s="846">
        <v>2278165000</v>
      </c>
      <c r="D13" s="846">
        <v>2367076390</v>
      </c>
      <c r="E13" s="846">
        <v>99856000</v>
      </c>
      <c r="F13" s="846">
        <v>88561708</v>
      </c>
      <c r="G13" s="846">
        <v>0</v>
      </c>
      <c r="H13" s="846">
        <v>2378021000</v>
      </c>
      <c r="I13" s="846">
        <v>2455638098</v>
      </c>
      <c r="J13" s="849" t="s">
        <v>158</v>
      </c>
      <c r="K13" s="850">
        <v>2265743000</v>
      </c>
      <c r="L13" s="850">
        <v>2397584200</v>
      </c>
      <c r="M13" s="850">
        <v>99856000</v>
      </c>
      <c r="N13" s="850">
        <v>88561708</v>
      </c>
      <c r="O13" s="850">
        <v>0</v>
      </c>
      <c r="P13" s="850">
        <v>2365599000</v>
      </c>
      <c r="Q13" s="850">
        <v>2486145908</v>
      </c>
      <c r="R13" s="848" t="s">
        <v>23</v>
      </c>
      <c r="S13" s="845" t="s">
        <v>163</v>
      </c>
      <c r="T13" s="846">
        <v>992000000</v>
      </c>
      <c r="U13" s="846">
        <v>718643052</v>
      </c>
      <c r="V13" s="846">
        <v>0</v>
      </c>
      <c r="W13" s="846">
        <v>0</v>
      </c>
      <c r="X13" s="846">
        <v>0</v>
      </c>
      <c r="Y13" s="846">
        <v>992000000</v>
      </c>
      <c r="Z13" s="846">
        <v>718643052</v>
      </c>
      <c r="AA13" s="849" t="s">
        <v>603</v>
      </c>
      <c r="AB13" s="850">
        <v>1586753000</v>
      </c>
      <c r="AC13" s="85">
        <v>1180872163</v>
      </c>
      <c r="AD13" s="85">
        <v>0</v>
      </c>
      <c r="AE13" s="85">
        <v>0</v>
      </c>
      <c r="AF13" s="85">
        <v>0</v>
      </c>
      <c r="AG13" s="85">
        <v>1586753000</v>
      </c>
      <c r="AH13" s="85">
        <v>1180872163</v>
      </c>
    </row>
    <row r="14" spans="1:34" s="449" customFormat="1" x14ac:dyDescent="0.25">
      <c r="A14" s="851" t="s">
        <v>18</v>
      </c>
      <c r="B14" s="845" t="s">
        <v>140</v>
      </c>
      <c r="C14" s="80">
        <v>1100815000</v>
      </c>
      <c r="D14" s="80">
        <v>1195259052</v>
      </c>
      <c r="E14" s="80">
        <v>0</v>
      </c>
      <c r="F14" s="80">
        <v>0</v>
      </c>
      <c r="G14" s="80">
        <v>0</v>
      </c>
      <c r="H14" s="80">
        <v>1100815000</v>
      </c>
      <c r="I14" s="80">
        <v>1195259052</v>
      </c>
      <c r="J14" s="852" t="s">
        <v>151</v>
      </c>
      <c r="K14" s="839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53" t="s">
        <v>24</v>
      </c>
      <c r="S14" s="845" t="s">
        <v>140</v>
      </c>
      <c r="T14" s="846">
        <v>306121000</v>
      </c>
      <c r="U14" s="846">
        <v>158381111</v>
      </c>
      <c r="V14" s="846">
        <v>0</v>
      </c>
      <c r="W14" s="846">
        <v>0</v>
      </c>
      <c r="X14" s="846">
        <v>0</v>
      </c>
      <c r="Y14" s="846">
        <v>306121000</v>
      </c>
      <c r="Z14" s="846">
        <v>158381111</v>
      </c>
      <c r="AA14" s="852" t="s">
        <v>151</v>
      </c>
      <c r="AB14" s="839">
        <v>0</v>
      </c>
      <c r="AC14" s="84">
        <v>0</v>
      </c>
      <c r="AD14" s="84">
        <v>0</v>
      </c>
      <c r="AE14" s="84">
        <v>0</v>
      </c>
      <c r="AF14" s="84">
        <v>0</v>
      </c>
      <c r="AG14" s="84">
        <v>0</v>
      </c>
      <c r="AH14" s="303">
        <v>0</v>
      </c>
    </row>
    <row r="15" spans="1:34" s="449" customFormat="1" x14ac:dyDescent="0.25">
      <c r="A15" s="853" t="s">
        <v>604</v>
      </c>
      <c r="B15" s="838" t="s">
        <v>141</v>
      </c>
      <c r="C15" s="843">
        <v>19879000</v>
      </c>
      <c r="D15" s="82">
        <v>62969952</v>
      </c>
      <c r="E15" s="82">
        <v>0</v>
      </c>
      <c r="F15" s="82">
        <v>0</v>
      </c>
      <c r="G15" s="82">
        <v>0</v>
      </c>
      <c r="H15" s="81">
        <v>19879000</v>
      </c>
      <c r="I15" s="81">
        <v>62969952</v>
      </c>
      <c r="J15" s="852" t="s">
        <v>152</v>
      </c>
      <c r="K15" s="839">
        <v>0</v>
      </c>
      <c r="L15" s="84">
        <v>300000000</v>
      </c>
      <c r="M15" s="84">
        <v>0</v>
      </c>
      <c r="N15" s="84">
        <v>0</v>
      </c>
      <c r="O15" s="84">
        <v>0</v>
      </c>
      <c r="P15" s="84">
        <v>0</v>
      </c>
      <c r="Q15" s="84">
        <v>300000000</v>
      </c>
      <c r="R15" s="853" t="s">
        <v>133</v>
      </c>
      <c r="S15" s="838" t="s">
        <v>141</v>
      </c>
      <c r="T15" s="843">
        <v>306121000</v>
      </c>
      <c r="U15" s="82">
        <v>158381111</v>
      </c>
      <c r="V15" s="82">
        <v>0</v>
      </c>
      <c r="W15" s="82">
        <v>0</v>
      </c>
      <c r="X15" s="82">
        <v>0</v>
      </c>
      <c r="Y15" s="81">
        <v>306121000</v>
      </c>
      <c r="Z15" s="81">
        <v>158381111</v>
      </c>
      <c r="AA15" s="852" t="s">
        <v>605</v>
      </c>
      <c r="AB15" s="839">
        <v>61368000</v>
      </c>
      <c r="AC15" s="84">
        <v>46152000</v>
      </c>
      <c r="AD15" s="84">
        <v>0</v>
      </c>
      <c r="AE15" s="84">
        <v>0</v>
      </c>
      <c r="AF15" s="84">
        <v>0</v>
      </c>
      <c r="AG15" s="84">
        <v>61368000</v>
      </c>
      <c r="AH15" s="84">
        <v>46152000</v>
      </c>
    </row>
    <row r="16" spans="1:34" s="449" customFormat="1" x14ac:dyDescent="0.25">
      <c r="A16" s="853" t="s">
        <v>606</v>
      </c>
      <c r="B16" s="838" t="s">
        <v>142</v>
      </c>
      <c r="C16" s="843">
        <v>0</v>
      </c>
      <c r="D16" s="82">
        <v>0</v>
      </c>
      <c r="E16" s="82">
        <v>0</v>
      </c>
      <c r="F16" s="82">
        <v>0</v>
      </c>
      <c r="G16" s="82">
        <v>0</v>
      </c>
      <c r="H16" s="81">
        <v>0</v>
      </c>
      <c r="I16" s="81">
        <v>0</v>
      </c>
      <c r="J16" s="852" t="s">
        <v>153</v>
      </c>
      <c r="K16" s="839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53" t="s">
        <v>134</v>
      </c>
      <c r="S16" s="838" t="s">
        <v>142</v>
      </c>
      <c r="T16" s="843">
        <v>0</v>
      </c>
      <c r="U16" s="82">
        <v>0</v>
      </c>
      <c r="V16" s="82">
        <v>0</v>
      </c>
      <c r="W16" s="82">
        <v>0</v>
      </c>
      <c r="X16" s="82">
        <v>0</v>
      </c>
      <c r="Y16" s="81">
        <v>0</v>
      </c>
      <c r="Z16" s="81">
        <v>0</v>
      </c>
      <c r="AA16" s="852" t="s">
        <v>153</v>
      </c>
      <c r="AB16" s="839">
        <v>0</v>
      </c>
      <c r="AC16" s="84">
        <v>0</v>
      </c>
      <c r="AD16" s="84">
        <v>0</v>
      </c>
      <c r="AE16" s="84">
        <v>0</v>
      </c>
      <c r="AF16" s="84">
        <v>0</v>
      </c>
      <c r="AG16" s="84">
        <v>0</v>
      </c>
      <c r="AH16" s="303">
        <v>0</v>
      </c>
    </row>
    <row r="17" spans="1:34" s="450" customFormat="1" x14ac:dyDescent="0.2">
      <c r="A17" s="853" t="s">
        <v>607</v>
      </c>
      <c r="B17" s="838" t="s">
        <v>143</v>
      </c>
      <c r="C17" s="843">
        <v>0</v>
      </c>
      <c r="D17" s="82">
        <v>0</v>
      </c>
      <c r="E17" s="82">
        <v>0</v>
      </c>
      <c r="F17" s="82">
        <v>0</v>
      </c>
      <c r="G17" s="82">
        <v>0</v>
      </c>
      <c r="H17" s="81">
        <v>0</v>
      </c>
      <c r="I17" s="81">
        <v>0</v>
      </c>
      <c r="J17" s="852" t="s">
        <v>154</v>
      </c>
      <c r="K17" s="144">
        <v>0</v>
      </c>
      <c r="L17" s="14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53" t="s">
        <v>135</v>
      </c>
      <c r="S17" s="838" t="s">
        <v>143</v>
      </c>
      <c r="T17" s="843">
        <v>0</v>
      </c>
      <c r="U17" s="82">
        <v>0</v>
      </c>
      <c r="V17" s="82">
        <v>0</v>
      </c>
      <c r="W17" s="82">
        <v>0</v>
      </c>
      <c r="X17" s="82">
        <v>0</v>
      </c>
      <c r="Y17" s="81">
        <v>0</v>
      </c>
      <c r="Z17" s="81">
        <v>0</v>
      </c>
      <c r="AA17" s="852" t="s">
        <v>154</v>
      </c>
      <c r="AB17" s="839">
        <v>0</v>
      </c>
      <c r="AC17" s="84">
        <v>0</v>
      </c>
      <c r="AD17" s="84">
        <v>0</v>
      </c>
      <c r="AE17" s="84">
        <v>0</v>
      </c>
      <c r="AF17" s="84">
        <v>0</v>
      </c>
      <c r="AG17" s="84">
        <v>0</v>
      </c>
      <c r="AH17" s="84">
        <v>0</v>
      </c>
    </row>
    <row r="18" spans="1:34" s="450" customFormat="1" x14ac:dyDescent="0.25">
      <c r="A18" s="853" t="s">
        <v>608</v>
      </c>
      <c r="B18" s="838" t="s">
        <v>609</v>
      </c>
      <c r="C18" s="843">
        <v>1080936000</v>
      </c>
      <c r="D18" s="82">
        <v>1132289100</v>
      </c>
      <c r="E18" s="82">
        <v>0</v>
      </c>
      <c r="F18" s="82">
        <v>0</v>
      </c>
      <c r="G18" s="80">
        <v>0</v>
      </c>
      <c r="H18" s="81">
        <v>1080936000</v>
      </c>
      <c r="I18" s="81">
        <v>1132289100</v>
      </c>
      <c r="J18" s="852" t="s">
        <v>155</v>
      </c>
      <c r="K18" s="839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53" t="s">
        <v>136</v>
      </c>
      <c r="S18" s="838" t="s">
        <v>144</v>
      </c>
      <c r="T18" s="843">
        <v>0</v>
      </c>
      <c r="U18" s="82">
        <v>0</v>
      </c>
      <c r="V18" s="82">
        <v>0</v>
      </c>
      <c r="W18" s="82">
        <v>0</v>
      </c>
      <c r="X18" s="82">
        <v>0</v>
      </c>
      <c r="Y18" s="81">
        <v>0</v>
      </c>
      <c r="Z18" s="81">
        <v>0</v>
      </c>
      <c r="AA18" s="852" t="s">
        <v>155</v>
      </c>
      <c r="AB18" s="839">
        <v>0</v>
      </c>
      <c r="AC18" s="84">
        <v>0</v>
      </c>
      <c r="AD18" s="84">
        <v>0</v>
      </c>
      <c r="AE18" s="84">
        <v>0</v>
      </c>
      <c r="AF18" s="84">
        <v>0</v>
      </c>
      <c r="AG18" s="84">
        <v>0</v>
      </c>
      <c r="AH18" s="303">
        <v>0</v>
      </c>
    </row>
    <row r="19" spans="1:34" s="208" customFormat="1" x14ac:dyDescent="0.25">
      <c r="A19" s="853" t="s">
        <v>610</v>
      </c>
      <c r="B19" s="838" t="s">
        <v>364</v>
      </c>
      <c r="C19" s="843">
        <v>0</v>
      </c>
      <c r="D19" s="84">
        <v>0</v>
      </c>
      <c r="E19" s="82">
        <v>0</v>
      </c>
      <c r="F19" s="82">
        <v>0</v>
      </c>
      <c r="G19" s="80">
        <v>0</v>
      </c>
      <c r="H19" s="81">
        <v>0</v>
      </c>
      <c r="I19" s="81">
        <v>0</v>
      </c>
      <c r="J19" s="852" t="s">
        <v>156</v>
      </c>
      <c r="K19" s="839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53"/>
      <c r="S19" s="838"/>
      <c r="T19" s="843"/>
      <c r="U19" s="82"/>
      <c r="V19" s="82"/>
      <c r="W19" s="82"/>
      <c r="X19" s="82"/>
      <c r="Y19" s="81"/>
      <c r="Z19" s="81"/>
      <c r="AA19" s="852"/>
      <c r="AB19" s="839"/>
      <c r="AC19" s="84"/>
      <c r="AD19" s="84"/>
      <c r="AE19" s="84"/>
      <c r="AF19" s="84"/>
      <c r="AG19" s="84"/>
      <c r="AH19" s="303"/>
    </row>
    <row r="20" spans="1:34" s="208" customFormat="1" x14ac:dyDescent="0.25">
      <c r="A20" s="851" t="s">
        <v>19</v>
      </c>
      <c r="B20" s="845" t="s">
        <v>145</v>
      </c>
      <c r="C20" s="846">
        <v>0</v>
      </c>
      <c r="D20" s="846">
        <v>300000000</v>
      </c>
      <c r="E20" s="846">
        <v>0</v>
      </c>
      <c r="F20" s="846">
        <v>0</v>
      </c>
      <c r="G20" s="846">
        <v>0</v>
      </c>
      <c r="H20" s="846">
        <v>0</v>
      </c>
      <c r="I20" s="846">
        <v>300000000</v>
      </c>
      <c r="J20" s="852" t="s">
        <v>157</v>
      </c>
      <c r="K20" s="839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53" t="s">
        <v>25</v>
      </c>
      <c r="S20" s="845" t="s">
        <v>145</v>
      </c>
      <c r="T20" s="846">
        <v>350000000</v>
      </c>
      <c r="U20" s="846">
        <v>350000000</v>
      </c>
      <c r="V20" s="846">
        <v>0</v>
      </c>
      <c r="W20" s="846">
        <v>0</v>
      </c>
      <c r="X20" s="846">
        <v>0</v>
      </c>
      <c r="Y20" s="846">
        <v>350000000</v>
      </c>
      <c r="Z20" s="846">
        <v>350000000</v>
      </c>
      <c r="AA20" s="852" t="s">
        <v>168</v>
      </c>
      <c r="AB20" s="839">
        <v>0</v>
      </c>
      <c r="AC20" s="84">
        <v>0</v>
      </c>
      <c r="AD20" s="84">
        <v>0</v>
      </c>
      <c r="AE20" s="84">
        <v>0</v>
      </c>
      <c r="AF20" s="84">
        <v>0</v>
      </c>
      <c r="AG20" s="84">
        <v>0</v>
      </c>
      <c r="AH20" s="303">
        <v>0</v>
      </c>
    </row>
    <row r="21" spans="1:34" s="501" customFormat="1" ht="22.5" x14ac:dyDescent="0.2">
      <c r="A21" s="853" t="s">
        <v>611</v>
      </c>
      <c r="B21" s="838" t="s">
        <v>612</v>
      </c>
      <c r="C21" s="843">
        <v>0</v>
      </c>
      <c r="D21" s="82">
        <v>300000000</v>
      </c>
      <c r="E21" s="82">
        <v>0</v>
      </c>
      <c r="F21" s="82">
        <v>0</v>
      </c>
      <c r="G21" s="82">
        <v>0</v>
      </c>
      <c r="H21" s="81">
        <v>0</v>
      </c>
      <c r="I21" s="81">
        <v>300000000</v>
      </c>
      <c r="J21" s="852" t="s">
        <v>117</v>
      </c>
      <c r="K21" s="843">
        <v>1080936000</v>
      </c>
      <c r="L21" s="82">
        <v>1132289100</v>
      </c>
      <c r="M21" s="84">
        <v>0</v>
      </c>
      <c r="N21" s="84">
        <v>0</v>
      </c>
      <c r="O21" s="85">
        <v>0</v>
      </c>
      <c r="P21" s="84">
        <v>1080936000</v>
      </c>
      <c r="Q21" s="84">
        <v>1132289100</v>
      </c>
      <c r="R21" s="853" t="s">
        <v>137</v>
      </c>
      <c r="S21" s="838" t="s">
        <v>164</v>
      </c>
      <c r="T21" s="144">
        <v>350000000</v>
      </c>
      <c r="U21" s="144">
        <v>350000000</v>
      </c>
      <c r="V21" s="82">
        <v>0</v>
      </c>
      <c r="W21" s="82">
        <v>0</v>
      </c>
      <c r="X21" s="82">
        <v>0</v>
      </c>
      <c r="Y21" s="81">
        <v>350000000</v>
      </c>
      <c r="Z21" s="81">
        <v>350000000</v>
      </c>
      <c r="AA21" s="852" t="s">
        <v>157</v>
      </c>
      <c r="AB21" s="839">
        <v>0</v>
      </c>
      <c r="AC21" s="84">
        <v>0</v>
      </c>
      <c r="AD21" s="84">
        <v>0</v>
      </c>
      <c r="AE21" s="84">
        <v>0</v>
      </c>
      <c r="AF21" s="84">
        <v>0</v>
      </c>
      <c r="AG21" s="84">
        <v>0</v>
      </c>
      <c r="AH21" s="303">
        <v>0</v>
      </c>
    </row>
    <row r="22" spans="1:34" s="501" customFormat="1" ht="22.5" x14ac:dyDescent="0.25">
      <c r="A22" s="853" t="s">
        <v>613</v>
      </c>
      <c r="B22" s="838" t="s">
        <v>146</v>
      </c>
      <c r="C22" s="854">
        <v>0</v>
      </c>
      <c r="D22" s="847">
        <v>0</v>
      </c>
      <c r="E22" s="847">
        <v>0</v>
      </c>
      <c r="F22" s="847">
        <v>0</v>
      </c>
      <c r="G22" s="847">
        <v>0</v>
      </c>
      <c r="H22" s="81">
        <v>0</v>
      </c>
      <c r="I22" s="81">
        <v>0</v>
      </c>
      <c r="J22" s="852" t="s">
        <v>614</v>
      </c>
      <c r="K22" s="839">
        <v>32301000</v>
      </c>
      <c r="L22" s="84">
        <v>32462142</v>
      </c>
      <c r="M22" s="84">
        <v>0</v>
      </c>
      <c r="N22" s="84">
        <v>0</v>
      </c>
      <c r="O22" s="84">
        <v>0</v>
      </c>
      <c r="P22" s="84">
        <v>32301000</v>
      </c>
      <c r="Q22" s="84">
        <v>32462142</v>
      </c>
      <c r="R22" s="853" t="s">
        <v>138</v>
      </c>
      <c r="S22" s="838" t="s">
        <v>615</v>
      </c>
      <c r="T22" s="854">
        <v>0</v>
      </c>
      <c r="U22" s="847">
        <v>0</v>
      </c>
      <c r="V22" s="847">
        <v>0</v>
      </c>
      <c r="W22" s="847">
        <v>0</v>
      </c>
      <c r="X22" s="847">
        <v>0</v>
      </c>
      <c r="Y22" s="81">
        <v>0</v>
      </c>
      <c r="Z22" s="81">
        <v>0</v>
      </c>
      <c r="AA22" s="852" t="s">
        <v>169</v>
      </c>
      <c r="AB22" s="839">
        <v>0</v>
      </c>
      <c r="AC22" s="84">
        <v>0</v>
      </c>
      <c r="AD22" s="84">
        <v>0</v>
      </c>
      <c r="AE22" s="84">
        <v>0</v>
      </c>
      <c r="AF22" s="84">
        <v>0</v>
      </c>
      <c r="AG22" s="84">
        <v>0</v>
      </c>
      <c r="AH22" s="303">
        <v>0</v>
      </c>
    </row>
    <row r="23" spans="1:34" s="450" customFormat="1" x14ac:dyDescent="0.25">
      <c r="A23" s="853" t="s">
        <v>616</v>
      </c>
      <c r="B23" s="838" t="s">
        <v>147</v>
      </c>
      <c r="C23" s="843">
        <v>0</v>
      </c>
      <c r="D23" s="82">
        <v>0</v>
      </c>
      <c r="E23" s="82">
        <v>0</v>
      </c>
      <c r="F23" s="82">
        <v>0</v>
      </c>
      <c r="G23" s="82">
        <v>0</v>
      </c>
      <c r="H23" s="81">
        <v>0</v>
      </c>
      <c r="I23" s="81">
        <v>0</v>
      </c>
      <c r="J23" s="855"/>
      <c r="K23" s="856"/>
      <c r="L23" s="844"/>
      <c r="M23" s="844"/>
      <c r="N23" s="844"/>
      <c r="O23" s="844"/>
      <c r="P23" s="844"/>
      <c r="Q23" s="844"/>
      <c r="R23" s="853" t="s">
        <v>139</v>
      </c>
      <c r="S23" s="838" t="s">
        <v>165</v>
      </c>
      <c r="T23" s="843">
        <v>0</v>
      </c>
      <c r="U23" s="82">
        <v>0</v>
      </c>
      <c r="V23" s="82">
        <v>0</v>
      </c>
      <c r="W23" s="82">
        <v>0</v>
      </c>
      <c r="X23" s="82">
        <v>0</v>
      </c>
      <c r="Y23" s="81">
        <v>0</v>
      </c>
      <c r="Z23" s="81">
        <v>0</v>
      </c>
      <c r="AA23" s="849"/>
      <c r="AB23" s="850"/>
      <c r="AC23" s="85"/>
      <c r="AD23" s="85"/>
      <c r="AE23" s="85"/>
      <c r="AF23" s="85"/>
      <c r="AG23" s="84"/>
      <c r="AH23" s="857"/>
    </row>
    <row r="24" spans="1:34" ht="22.5" x14ac:dyDescent="0.25">
      <c r="A24" s="837" t="s">
        <v>20</v>
      </c>
      <c r="B24" s="845" t="s">
        <v>148</v>
      </c>
      <c r="C24" s="850">
        <v>1100815000</v>
      </c>
      <c r="D24" s="850">
        <v>1495259052</v>
      </c>
      <c r="E24" s="850">
        <v>0</v>
      </c>
      <c r="F24" s="850">
        <v>0</v>
      </c>
      <c r="G24" s="850">
        <v>0</v>
      </c>
      <c r="H24" s="850">
        <v>1100815000</v>
      </c>
      <c r="I24" s="850">
        <v>1495259052</v>
      </c>
      <c r="J24" s="849" t="s">
        <v>149</v>
      </c>
      <c r="K24" s="85">
        <v>1113237000</v>
      </c>
      <c r="L24" s="85">
        <v>1464751242</v>
      </c>
      <c r="M24" s="85">
        <v>0</v>
      </c>
      <c r="N24" s="85">
        <v>0</v>
      </c>
      <c r="O24" s="85">
        <v>0</v>
      </c>
      <c r="P24" s="85">
        <v>1113237000</v>
      </c>
      <c r="Q24" s="85">
        <v>1464751242</v>
      </c>
      <c r="R24" s="858" t="s">
        <v>26</v>
      </c>
      <c r="S24" s="845" t="s">
        <v>166</v>
      </c>
      <c r="T24" s="850">
        <v>656121000</v>
      </c>
      <c r="U24" s="850">
        <v>508381111</v>
      </c>
      <c r="V24" s="850">
        <v>0</v>
      </c>
      <c r="W24" s="850">
        <v>0</v>
      </c>
      <c r="X24" s="850">
        <v>0</v>
      </c>
      <c r="Y24" s="850">
        <v>656121000</v>
      </c>
      <c r="Z24" s="850">
        <v>508381111</v>
      </c>
      <c r="AA24" s="849" t="s">
        <v>170</v>
      </c>
      <c r="AB24" s="850">
        <v>61368000</v>
      </c>
      <c r="AC24" s="850">
        <v>46152000</v>
      </c>
      <c r="AD24" s="850">
        <v>0</v>
      </c>
      <c r="AE24" s="850">
        <v>0</v>
      </c>
      <c r="AF24" s="850">
        <v>0</v>
      </c>
      <c r="AG24" s="850">
        <v>61368000</v>
      </c>
      <c r="AH24" s="850">
        <v>46152000</v>
      </c>
    </row>
    <row r="25" spans="1:34" x14ac:dyDescent="0.25">
      <c r="A25" s="837" t="s">
        <v>21</v>
      </c>
      <c r="B25" s="859" t="s">
        <v>150</v>
      </c>
      <c r="C25" s="850">
        <v>3378980000</v>
      </c>
      <c r="D25" s="850">
        <v>3862335442</v>
      </c>
      <c r="E25" s="850">
        <v>99856000</v>
      </c>
      <c r="F25" s="850">
        <v>88561708</v>
      </c>
      <c r="G25" s="850">
        <v>0</v>
      </c>
      <c r="H25" s="850">
        <v>3478836000</v>
      </c>
      <c r="I25" s="850">
        <v>3950897150</v>
      </c>
      <c r="J25" s="860" t="s">
        <v>160</v>
      </c>
      <c r="K25" s="850">
        <v>3378980000</v>
      </c>
      <c r="L25" s="850">
        <v>3862335442</v>
      </c>
      <c r="M25" s="850">
        <v>99856000</v>
      </c>
      <c r="N25" s="850">
        <v>88561708</v>
      </c>
      <c r="O25" s="850">
        <v>0</v>
      </c>
      <c r="P25" s="850">
        <v>3478836000</v>
      </c>
      <c r="Q25" s="850">
        <v>3950897150</v>
      </c>
      <c r="R25" s="861" t="s">
        <v>27</v>
      </c>
      <c r="S25" s="859" t="s">
        <v>150</v>
      </c>
      <c r="T25" s="850">
        <v>1648121000</v>
      </c>
      <c r="U25" s="850">
        <v>1227024163</v>
      </c>
      <c r="V25" s="850">
        <v>0</v>
      </c>
      <c r="W25" s="850">
        <v>0</v>
      </c>
      <c r="X25" s="850">
        <v>0</v>
      </c>
      <c r="Y25" s="850">
        <v>1648121000</v>
      </c>
      <c r="Z25" s="850">
        <v>1227024163</v>
      </c>
      <c r="AA25" s="860" t="s">
        <v>160</v>
      </c>
      <c r="AB25" s="850">
        <v>1648121000</v>
      </c>
      <c r="AC25" s="85">
        <v>1227024163</v>
      </c>
      <c r="AD25" s="85">
        <v>0</v>
      </c>
      <c r="AE25" s="85">
        <v>0</v>
      </c>
      <c r="AF25" s="85">
        <v>0</v>
      </c>
      <c r="AG25" s="85">
        <v>1648121000</v>
      </c>
      <c r="AH25" s="85">
        <v>1227024163</v>
      </c>
    </row>
    <row r="26" spans="1:34" x14ac:dyDescent="0.25">
      <c r="A26" s="848" t="s">
        <v>22</v>
      </c>
      <c r="B26" s="862" t="s">
        <v>617</v>
      </c>
      <c r="C26" s="841">
        <v>1080936000</v>
      </c>
      <c r="D26" s="841">
        <v>1132289100</v>
      </c>
      <c r="E26" s="841">
        <v>0</v>
      </c>
      <c r="F26" s="841">
        <v>0</v>
      </c>
      <c r="G26" s="841">
        <v>0</v>
      </c>
      <c r="H26" s="841">
        <v>1080936000</v>
      </c>
      <c r="I26" s="841">
        <v>1132289100</v>
      </c>
      <c r="J26" s="863" t="s">
        <v>617</v>
      </c>
      <c r="K26" s="841">
        <v>1080936000</v>
      </c>
      <c r="L26" s="841">
        <v>1132289100</v>
      </c>
      <c r="M26" s="841">
        <v>0</v>
      </c>
      <c r="N26" s="841">
        <v>0</v>
      </c>
      <c r="O26" s="841">
        <v>0</v>
      </c>
      <c r="P26" s="841">
        <v>1080936000</v>
      </c>
      <c r="Q26" s="841">
        <v>1132289100</v>
      </c>
      <c r="R26" s="858" t="s">
        <v>28</v>
      </c>
      <c r="S26" s="862" t="s">
        <v>617</v>
      </c>
      <c r="T26" s="864">
        <v>0</v>
      </c>
      <c r="U26" s="864">
        <v>0</v>
      </c>
      <c r="V26" s="864">
        <v>0</v>
      </c>
      <c r="W26" s="864">
        <v>0</v>
      </c>
      <c r="X26" s="864">
        <v>0</v>
      </c>
      <c r="Y26" s="864">
        <v>0</v>
      </c>
      <c r="Z26" s="864">
        <v>0</v>
      </c>
      <c r="AA26" s="863" t="s">
        <v>617</v>
      </c>
      <c r="AB26" s="864">
        <v>0</v>
      </c>
      <c r="AC26" s="303">
        <v>0</v>
      </c>
      <c r="AD26" s="303">
        <v>0</v>
      </c>
      <c r="AE26" s="303">
        <v>0</v>
      </c>
      <c r="AF26" s="303">
        <v>0</v>
      </c>
      <c r="AG26" s="81">
        <v>0</v>
      </c>
      <c r="AH26" s="303">
        <v>0</v>
      </c>
    </row>
    <row r="27" spans="1:34" ht="15.75" thickBot="1" x14ac:dyDescent="0.3">
      <c r="A27" s="865" t="s">
        <v>23</v>
      </c>
      <c r="B27" s="866" t="s">
        <v>618</v>
      </c>
      <c r="C27" s="867">
        <v>2298044000</v>
      </c>
      <c r="D27" s="867">
        <v>2730046342</v>
      </c>
      <c r="E27" s="867">
        <v>99856000</v>
      </c>
      <c r="F27" s="867">
        <v>88561708</v>
      </c>
      <c r="G27" s="867">
        <v>0</v>
      </c>
      <c r="H27" s="867">
        <v>2397900000</v>
      </c>
      <c r="I27" s="867">
        <v>2818608050</v>
      </c>
      <c r="J27" s="868" t="s">
        <v>619</v>
      </c>
      <c r="K27" s="867">
        <v>2298044000</v>
      </c>
      <c r="L27" s="867">
        <v>2730046342</v>
      </c>
      <c r="M27" s="867">
        <v>99856000</v>
      </c>
      <c r="N27" s="867">
        <v>88561708</v>
      </c>
      <c r="O27" s="867">
        <v>0</v>
      </c>
      <c r="P27" s="867">
        <v>2397900000</v>
      </c>
      <c r="Q27" s="867">
        <v>2818608050</v>
      </c>
      <c r="R27" s="869" t="s">
        <v>29</v>
      </c>
      <c r="S27" s="866" t="s">
        <v>620</v>
      </c>
      <c r="T27" s="867">
        <v>1648121000</v>
      </c>
      <c r="U27" s="867">
        <v>1227024163</v>
      </c>
      <c r="V27" s="867">
        <v>0</v>
      </c>
      <c r="W27" s="867">
        <v>0</v>
      </c>
      <c r="X27" s="867">
        <v>0</v>
      </c>
      <c r="Y27" s="867">
        <v>1648121000</v>
      </c>
      <c r="Z27" s="867">
        <v>1227024163</v>
      </c>
      <c r="AA27" s="870" t="s">
        <v>621</v>
      </c>
      <c r="AB27" s="867">
        <v>1648121000</v>
      </c>
      <c r="AC27" s="871">
        <v>1227024163</v>
      </c>
      <c r="AD27" s="871">
        <v>0</v>
      </c>
      <c r="AE27" s="871">
        <v>0</v>
      </c>
      <c r="AF27" s="871">
        <v>0</v>
      </c>
      <c r="AG27" s="871">
        <v>1648121000</v>
      </c>
      <c r="AH27" s="871">
        <v>1227024163</v>
      </c>
    </row>
    <row r="28" spans="1:34" x14ac:dyDescent="0.25">
      <c r="A28" s="24"/>
      <c r="B28" s="64"/>
      <c r="C28" s="65"/>
      <c r="D28" s="65"/>
      <c r="E28" s="66"/>
      <c r="F28" s="66"/>
      <c r="G28" s="44"/>
      <c r="H28" s="44"/>
      <c r="I28" s="478">
        <f>+I24-I26</f>
        <v>362969952</v>
      </c>
      <c r="J28" s="46"/>
      <c r="K28" s="46"/>
      <c r="L28" s="46"/>
      <c r="M28" s="46"/>
      <c r="N28" s="477"/>
    </row>
    <row r="29" spans="1:34" x14ac:dyDescent="0.25">
      <c r="A29" s="24"/>
      <c r="B29" s="42"/>
      <c r="C29" s="66"/>
      <c r="D29" s="66"/>
      <c r="E29" s="66"/>
      <c r="F29" s="66"/>
      <c r="G29" s="44"/>
      <c r="H29" s="44"/>
      <c r="I29" s="482">
        <f>+I25-I27</f>
        <v>1132289100</v>
      </c>
      <c r="J29" s="46"/>
      <c r="K29" s="46"/>
      <c r="L29" s="46"/>
      <c r="M29" s="46"/>
      <c r="N29" s="477"/>
    </row>
    <row r="30" spans="1:34" x14ac:dyDescent="0.25">
      <c r="A30" s="24"/>
      <c r="B30" s="42"/>
      <c r="C30" s="66"/>
      <c r="D30" s="66"/>
      <c r="E30" s="66"/>
      <c r="F30" s="66"/>
      <c r="G30" s="44"/>
      <c r="H30" s="44"/>
      <c r="I30" s="42"/>
      <c r="J30" s="46"/>
      <c r="K30" s="46"/>
      <c r="L30" s="46"/>
      <c r="M30" s="46"/>
      <c r="N30" s="477"/>
    </row>
    <row r="31" spans="1:34" x14ac:dyDescent="0.25">
      <c r="A31" s="24"/>
      <c r="B31" s="42"/>
      <c r="C31" s="66"/>
      <c r="D31" s="66"/>
      <c r="E31" s="66"/>
      <c r="F31" s="66"/>
      <c r="G31" s="44"/>
      <c r="H31" s="44"/>
      <c r="I31" s="42"/>
      <c r="J31" s="46"/>
      <c r="K31" s="46"/>
      <c r="L31" s="46"/>
      <c r="M31" s="46"/>
      <c r="N31" s="477"/>
    </row>
    <row r="32" spans="1:34" x14ac:dyDescent="0.25">
      <c r="A32" s="24"/>
      <c r="B32" s="64"/>
      <c r="C32" s="65"/>
      <c r="D32" s="65"/>
      <c r="E32" s="66"/>
      <c r="F32" s="66"/>
      <c r="G32" s="44"/>
      <c r="H32" s="44"/>
      <c r="I32" s="42"/>
      <c r="J32" s="46"/>
      <c r="K32" s="46"/>
      <c r="L32" s="46"/>
      <c r="M32" s="46"/>
      <c r="N32" s="477"/>
    </row>
    <row r="33" spans="1:14" x14ac:dyDescent="0.25">
      <c r="A33" s="24"/>
      <c r="B33" s="64"/>
      <c r="C33" s="65"/>
      <c r="D33" s="65"/>
      <c r="E33" s="66"/>
      <c r="F33" s="66"/>
      <c r="G33" s="44"/>
      <c r="H33" s="44"/>
      <c r="I33" s="42"/>
      <c r="J33" s="46"/>
      <c r="K33" s="46"/>
      <c r="L33" s="46"/>
      <c r="M33" s="46"/>
      <c r="N33" s="477"/>
    </row>
    <row r="34" spans="1:14" x14ac:dyDescent="0.25">
      <c r="A34" s="24"/>
      <c r="B34" s="64"/>
      <c r="C34" s="65"/>
      <c r="D34" s="65"/>
      <c r="E34" s="66"/>
      <c r="F34" s="66"/>
      <c r="G34" s="44"/>
      <c r="H34" s="44"/>
      <c r="I34" s="42"/>
      <c r="J34" s="46"/>
      <c r="K34" s="46"/>
      <c r="L34" s="46"/>
      <c r="M34" s="46"/>
      <c r="N34" s="477"/>
    </row>
    <row r="35" spans="1:14" x14ac:dyDescent="0.25">
      <c r="A35" s="24"/>
      <c r="B35" s="64"/>
      <c r="C35" s="65"/>
      <c r="D35" s="65"/>
      <c r="E35" s="66"/>
      <c r="F35" s="66"/>
      <c r="G35" s="44"/>
      <c r="H35" s="44"/>
      <c r="I35" s="42"/>
      <c r="J35" s="46"/>
      <c r="K35" s="46"/>
      <c r="L35" s="46"/>
      <c r="M35" s="46"/>
      <c r="N35" s="477"/>
    </row>
    <row r="36" spans="1:14" x14ac:dyDescent="0.25">
      <c r="A36" s="24"/>
      <c r="B36" s="67"/>
      <c r="C36" s="33"/>
      <c r="D36" s="71"/>
      <c r="E36" s="65"/>
      <c r="F36" s="65"/>
      <c r="G36" s="250"/>
      <c r="H36" s="250"/>
      <c r="I36" s="67"/>
      <c r="J36" s="35"/>
      <c r="K36" s="44"/>
      <c r="L36" s="44"/>
      <c r="M36" s="44"/>
      <c r="N36" s="477"/>
    </row>
    <row r="37" spans="1:14" x14ac:dyDescent="0.25">
      <c r="A37" s="24"/>
      <c r="B37" s="64"/>
      <c r="C37" s="65"/>
      <c r="D37" s="65"/>
      <c r="E37" s="66"/>
      <c r="F37" s="66"/>
      <c r="G37" s="44"/>
      <c r="H37" s="44"/>
      <c r="I37" s="64"/>
      <c r="J37" s="44"/>
      <c r="K37" s="46"/>
      <c r="L37" s="46"/>
      <c r="M37" s="46"/>
      <c r="N37" s="477"/>
    </row>
    <row r="38" spans="1:14" x14ac:dyDescent="0.25">
      <c r="A38" s="68"/>
      <c r="B38" s="69"/>
      <c r="C38" s="50"/>
      <c r="D38" s="50"/>
      <c r="E38" s="66"/>
      <c r="F38" s="66"/>
      <c r="G38" s="250"/>
      <c r="H38" s="250"/>
      <c r="I38" s="38"/>
      <c r="J38" s="61"/>
      <c r="K38" s="46"/>
      <c r="L38" s="46"/>
      <c r="M38" s="46"/>
      <c r="N38" s="250"/>
    </row>
    <row r="39" spans="1:14" x14ac:dyDescent="0.25">
      <c r="A39" s="68"/>
      <c r="B39" s="67"/>
      <c r="C39" s="71"/>
      <c r="D39" s="71"/>
      <c r="E39" s="66"/>
      <c r="F39" s="66"/>
      <c r="G39" s="250"/>
      <c r="H39" s="250"/>
      <c r="I39" s="67"/>
      <c r="J39" s="71"/>
      <c r="K39" s="46"/>
      <c r="L39" s="46"/>
      <c r="M39" s="46"/>
      <c r="N39" s="250"/>
    </row>
    <row r="40" spans="1:14" x14ac:dyDescent="0.25">
      <c r="A40" s="34"/>
      <c r="B40" s="34"/>
      <c r="C40" s="34"/>
      <c r="D40" s="70"/>
      <c r="E40" s="70"/>
      <c r="F40" s="34"/>
      <c r="G40" s="250"/>
      <c r="H40" s="250"/>
      <c r="I40" s="34"/>
      <c r="J40" s="70"/>
      <c r="K40" s="34"/>
      <c r="L40" s="70"/>
      <c r="M40" s="70"/>
      <c r="N40" s="250"/>
    </row>
    <row r="41" spans="1:14" x14ac:dyDescent="0.25">
      <c r="A41" s="34"/>
      <c r="B41" s="34"/>
      <c r="C41" s="34"/>
      <c r="D41" s="70"/>
      <c r="E41" s="70"/>
      <c r="F41" s="34"/>
      <c r="G41" s="250"/>
      <c r="H41" s="250"/>
      <c r="I41" s="34"/>
      <c r="J41" s="70"/>
      <c r="K41" s="34"/>
      <c r="L41" s="70"/>
      <c r="M41" s="70"/>
      <c r="N41" s="250"/>
    </row>
  </sheetData>
  <mergeCells count="11">
    <mergeCell ref="AA3:AB3"/>
    <mergeCell ref="AF1:AH2"/>
    <mergeCell ref="O1:Q2"/>
    <mergeCell ref="P5:Q5"/>
    <mergeCell ref="AG5:AH5"/>
    <mergeCell ref="J4:Q4"/>
    <mergeCell ref="B4:I4"/>
    <mergeCell ref="Y5:Z5"/>
    <mergeCell ref="S4:Z4"/>
    <mergeCell ref="AA4:AH4"/>
    <mergeCell ref="G5:I5"/>
  </mergeCells>
  <phoneticPr fontId="3" type="noConversion"/>
  <pageMargins left="0.39370078740157483" right="0.39370078740157483" top="0.39370078740157483" bottom="0.39370078740157483" header="0.31496062992125984" footer="0.31496062992125984"/>
  <pageSetup paperSize="9" scale="57" orientation="landscape" r:id="rId1"/>
  <headerFooter alignWithMargins="0">
    <oddFooter xml:space="preserve">&amp;R
</oddFooter>
  </headerFooter>
  <colBreaks count="1" manualBreakCount="1">
    <brk id="17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12</vt:i4>
      </vt:variant>
    </vt:vector>
  </HeadingPairs>
  <TitlesOfParts>
    <vt:vector size="27" baseType="lpstr">
      <vt:lpstr>2020. 1.bevkiadfőössz. </vt:lpstr>
      <vt:lpstr>2. önkorm.bevkiad</vt:lpstr>
      <vt:lpstr>3-10 önálló int.be-ki.</vt:lpstr>
      <vt:lpstr>11-12.tartalék.köt.köt.részl.</vt:lpstr>
      <vt:lpstr>13. többéves kötváll</vt:lpstr>
      <vt:lpstr>14-16.pe.átad.közv.tám.szoc. j</vt:lpstr>
      <vt:lpstr>17.eng.létszámkeret</vt:lpstr>
      <vt:lpstr>18.EUS pályázat</vt:lpstr>
      <vt:lpstr>19.-20.mérleg</vt:lpstr>
      <vt:lpstr>21.bev ütemterv</vt:lpstr>
      <vt:lpstr>22.kiadási ütemterv</vt:lpstr>
      <vt:lpstr>23. beruházások</vt:lpstr>
      <vt:lpstr>Munka1</vt:lpstr>
      <vt:lpstr>24. COFOG</vt:lpstr>
      <vt:lpstr>25. többéves kihatás</vt:lpstr>
      <vt:lpstr>'11-12.tartalék.köt.köt.részl.'!Nyomtatási_terület</vt:lpstr>
      <vt:lpstr>'13. többéves kötváll'!Nyomtatási_terület</vt:lpstr>
      <vt:lpstr>'14-16.pe.átad.közv.tám.szoc. j'!Nyomtatási_terület</vt:lpstr>
      <vt:lpstr>'18.EUS pályázat'!Nyomtatási_terület</vt:lpstr>
      <vt:lpstr>'19.-20.mérleg'!Nyomtatási_terület</vt:lpstr>
      <vt:lpstr>'2. önkorm.bevkiad'!Nyomtatási_terület</vt:lpstr>
      <vt:lpstr>'2020. 1.bevkiadfőössz. '!Nyomtatási_terület</vt:lpstr>
      <vt:lpstr>'21.bev ütemterv'!Nyomtatási_terület</vt:lpstr>
      <vt:lpstr>'22.kiadási ütemterv'!Nyomtatási_terület</vt:lpstr>
      <vt:lpstr>'23. beruházások'!Nyomtatási_terület</vt:lpstr>
      <vt:lpstr>'24. COFOG'!Nyomtatási_terület</vt:lpstr>
      <vt:lpstr>'3-10 önálló int.be-ki.'!Nyomtatási_terület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puiroda</dc:creator>
  <cp:lastModifiedBy>dr. Miskolczy-Krizsán Mónika</cp:lastModifiedBy>
  <cp:lastPrinted>2021-05-28T21:54:46Z</cp:lastPrinted>
  <dcterms:created xsi:type="dcterms:W3CDTF">2012-02-02T18:37:10Z</dcterms:created>
  <dcterms:modified xsi:type="dcterms:W3CDTF">2021-05-31T12:17:56Z</dcterms:modified>
</cp:coreProperties>
</file>