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Munka\Költségvetések\2020\Újrtervezés\"/>
    </mc:Choice>
  </mc:AlternateContent>
  <xr:revisionPtr revIDLastSave="0" documentId="13_ncr:1_{7BA07849-0620-49BE-A797-8EAAFCC210D7}" xr6:coauthVersionLast="45" xr6:coauthVersionMax="45" xr10:uidLastSave="{00000000-0000-0000-0000-000000000000}"/>
  <bookViews>
    <workbookView xWindow="28680" yWindow="-120" windowWidth="29040" windowHeight="17640" tabRatio="918" activeTab="8" xr2:uid="{00000000-000D-0000-FFFF-FFFF00000000}"/>
  </bookViews>
  <sheets>
    <sheet name="2020. 1.bevkiadfőössz. " sheetId="19" r:id="rId1"/>
    <sheet name="2. önkorm.bevkiad" sheetId="33" r:id="rId2"/>
    <sheet name="3-10 önálló int.be-ki." sheetId="7" r:id="rId3"/>
    <sheet name="11-12.tartalék.köt.köt.részl." sheetId="11" r:id="rId4"/>
    <sheet name="13. többéves kötváll" sheetId="40" r:id="rId5"/>
    <sheet name="14-16.pe.átad.közv.tám.szoc. j" sheetId="13" r:id="rId6"/>
    <sheet name="17.eng.létszámkeret" sheetId="14" r:id="rId7"/>
    <sheet name="18.EUS pályázat" sheetId="15" r:id="rId8"/>
    <sheet name="19.-20.mérleg" sheetId="17" r:id="rId9"/>
    <sheet name="21.bev ütemterv" sheetId="34" r:id="rId10"/>
    <sheet name="22.kiadási ütemterv" sheetId="35" r:id="rId11"/>
    <sheet name="23. beruházások" sheetId="38" r:id="rId12"/>
    <sheet name="Munka1" sheetId="41" r:id="rId13"/>
    <sheet name="24. COFOG" sheetId="39" r:id="rId14"/>
    <sheet name="25. többéves kihatás" sheetId="42" r:id="rId15"/>
  </sheets>
  <definedNames>
    <definedName name="_xlnm.Print_Area" localSheetId="3">'11-12.tartalék.köt.köt.részl.'!$A$1:$O$31</definedName>
    <definedName name="_xlnm.Print_Area" localSheetId="4">'13. többéves kötváll'!$A$1:$L$35</definedName>
    <definedName name="_xlnm.Print_Area" localSheetId="5">'14-16.pe.átad.közv.tám.szoc. j'!$A$1:$V$43</definedName>
    <definedName name="_xlnm.Print_Area" localSheetId="7">'18.EUS pályázat'!$A$1:$E$16</definedName>
    <definedName name="_xlnm.Print_Area" localSheetId="8">'19.-20.mérleg'!$A$1:$AL$33</definedName>
    <definedName name="_xlnm.Print_Area" localSheetId="1">'2. önkorm.bevkiad'!$A$1:$J$65</definedName>
    <definedName name="_xlnm.Print_Area" localSheetId="0">'2020. 1.bevkiadfőössz. '!$A$1:$J$68</definedName>
    <definedName name="_xlnm.Print_Area" localSheetId="9">'21.bev ütemterv'!$A$1:$P$37</definedName>
    <definedName name="_xlnm.Print_Area" localSheetId="10">'22.kiadási ütemterv'!$A$1:$O$26</definedName>
    <definedName name="_xlnm.Print_Area" localSheetId="11">'23. beruházások'!$A$1:$G$36</definedName>
    <definedName name="_xlnm.Print_Area" localSheetId="13">'24. COFOG'!$A$1:$AD$47</definedName>
    <definedName name="_xlnm.Print_Area" localSheetId="2">'3-10 önálló int.be-ki.'!$A$1:$CB$43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3" l="1"/>
  <c r="F15" i="33"/>
  <c r="AE8" i="17" l="1"/>
  <c r="L10" i="17"/>
  <c r="AK25" i="17"/>
  <c r="AL25" i="17"/>
  <c r="AF25" i="17"/>
  <c r="AE25" i="17"/>
  <c r="D21" i="17" l="1"/>
  <c r="M24" i="17" s="1"/>
  <c r="C21" i="17"/>
  <c r="C30" i="17" s="1"/>
  <c r="N30" i="17"/>
  <c r="O30" i="17"/>
  <c r="P30" i="17"/>
  <c r="Q30" i="17"/>
  <c r="E30" i="17"/>
  <c r="F30" i="17"/>
  <c r="G30" i="17"/>
  <c r="H30" i="17"/>
  <c r="AF30" i="17"/>
  <c r="AG30" i="17"/>
  <c r="AH30" i="17"/>
  <c r="AI30" i="17"/>
  <c r="AJ30" i="17"/>
  <c r="AK30" i="17"/>
  <c r="AL30" i="17"/>
  <c r="AE30" i="17"/>
  <c r="W30" i="17"/>
  <c r="V30" i="17"/>
  <c r="AL17" i="17"/>
  <c r="AL18" i="17"/>
  <c r="AL19" i="17"/>
  <c r="AL21" i="17"/>
  <c r="AL22" i="17"/>
  <c r="AL23" i="17"/>
  <c r="AL24" i="17"/>
  <c r="AK24" i="17"/>
  <c r="AK23" i="17"/>
  <c r="AK22" i="17"/>
  <c r="AK21" i="17"/>
  <c r="AK19" i="17"/>
  <c r="AK18" i="17"/>
  <c r="AK17" i="17"/>
  <c r="AK8" i="17"/>
  <c r="X21" i="17"/>
  <c r="X30" i="17" s="1"/>
  <c r="Y21" i="17"/>
  <c r="Y30" i="17" s="1"/>
  <c r="Z21" i="17"/>
  <c r="Z30" i="17" s="1"/>
  <c r="AA21" i="17"/>
  <c r="AA30" i="17" s="1"/>
  <c r="AG20" i="17"/>
  <c r="AG28" i="17" s="1"/>
  <c r="AH20" i="17"/>
  <c r="AH28" i="17" s="1"/>
  <c r="AI20" i="17"/>
  <c r="AI28" i="17" s="1"/>
  <c r="AJ20" i="17"/>
  <c r="AE20" i="17"/>
  <c r="AE28" i="17" s="1"/>
  <c r="AG7" i="17"/>
  <c r="AH7" i="17"/>
  <c r="AI7" i="17"/>
  <c r="AJ7" i="17"/>
  <c r="AE7" i="17"/>
  <c r="AF7" i="17"/>
  <c r="X18" i="17"/>
  <c r="Y18" i="17"/>
  <c r="Y17" i="17" s="1"/>
  <c r="Z18" i="17"/>
  <c r="Z17" i="17" s="1"/>
  <c r="AA18" i="17"/>
  <c r="AA17" i="17" s="1"/>
  <c r="E23" i="17"/>
  <c r="F23" i="17"/>
  <c r="F22" i="17" s="1"/>
  <c r="G23" i="17"/>
  <c r="G22" i="17" s="1"/>
  <c r="H23" i="17"/>
  <c r="H22" i="17" s="1"/>
  <c r="I64" i="19"/>
  <c r="H64" i="19"/>
  <c r="G64" i="19"/>
  <c r="F64" i="19"/>
  <c r="E64" i="19"/>
  <c r="C64" i="19"/>
  <c r="H33" i="19"/>
  <c r="G33" i="19"/>
  <c r="F33" i="19"/>
  <c r="E33" i="19"/>
  <c r="E18" i="17"/>
  <c r="F18" i="17"/>
  <c r="J18" i="17" s="1"/>
  <c r="G18" i="17"/>
  <c r="G17" i="17" s="1"/>
  <c r="G28" i="17" s="1"/>
  <c r="H18" i="17"/>
  <c r="H17" i="17" s="1"/>
  <c r="J19" i="17"/>
  <c r="J20" i="17"/>
  <c r="J24" i="17"/>
  <c r="J25" i="17"/>
  <c r="AB19" i="17"/>
  <c r="AC19" i="17"/>
  <c r="AB20" i="17"/>
  <c r="AC20" i="17"/>
  <c r="AC21" i="17"/>
  <c r="AC30" i="17" s="1"/>
  <c r="X23" i="17"/>
  <c r="X22" i="17" s="1"/>
  <c r="Y23" i="17"/>
  <c r="Y22" i="17" s="1"/>
  <c r="Z23" i="17"/>
  <c r="Z22" i="17" s="1"/>
  <c r="AA23" i="17"/>
  <c r="AA22" i="17" s="1"/>
  <c r="V23" i="17"/>
  <c r="W23" i="17"/>
  <c r="N25" i="17"/>
  <c r="N28" i="17" s="1"/>
  <c r="O25" i="17"/>
  <c r="O28" i="17" s="1"/>
  <c r="P25" i="17"/>
  <c r="P28" i="17" s="1"/>
  <c r="Q25" i="17"/>
  <c r="Q28" i="17" s="1"/>
  <c r="L25" i="17"/>
  <c r="L18" i="17"/>
  <c r="R18" i="17" s="1"/>
  <c r="R17" i="17"/>
  <c r="S17" i="17"/>
  <c r="R19" i="17"/>
  <c r="S19" i="17"/>
  <c r="R20" i="17"/>
  <c r="S20" i="17"/>
  <c r="R21" i="17"/>
  <c r="S21" i="17"/>
  <c r="R22" i="17"/>
  <c r="S22" i="17"/>
  <c r="R23" i="17"/>
  <c r="S23" i="17"/>
  <c r="E66" i="33"/>
  <c r="G66" i="33"/>
  <c r="H66" i="33"/>
  <c r="I66" i="33"/>
  <c r="C66" i="33"/>
  <c r="I18" i="17" l="1"/>
  <c r="AK7" i="17"/>
  <c r="AB23" i="17"/>
  <c r="AB22" i="17" s="1"/>
  <c r="H28" i="17"/>
  <c r="AK20" i="17"/>
  <c r="AK28" i="17" s="1"/>
  <c r="F17" i="17"/>
  <c r="AL7" i="17"/>
  <c r="AC23" i="17"/>
  <c r="AC22" i="17" s="1"/>
  <c r="Y28" i="17"/>
  <c r="F28" i="17"/>
  <c r="X17" i="17"/>
  <c r="X28" i="17" s="1"/>
  <c r="R25" i="17"/>
  <c r="V22" i="17"/>
  <c r="E17" i="17"/>
  <c r="AB21" i="17"/>
  <c r="AB30" i="17" s="1"/>
  <c r="AJ28" i="17"/>
  <c r="E22" i="17"/>
  <c r="Z28" i="17"/>
  <c r="AA28" i="17"/>
  <c r="W22" i="17"/>
  <c r="M30" i="17"/>
  <c r="S24" i="17"/>
  <c r="S30" i="17" s="1"/>
  <c r="D17" i="17"/>
  <c r="L24" i="17"/>
  <c r="J21" i="17"/>
  <c r="J30" i="17" s="1"/>
  <c r="D30" i="17"/>
  <c r="C17" i="17"/>
  <c r="R10" i="17"/>
  <c r="M10" i="17"/>
  <c r="S10" i="17" s="1"/>
  <c r="E15" i="11"/>
  <c r="AF8" i="17" s="1"/>
  <c r="D15" i="11"/>
  <c r="D24" i="11" s="1"/>
  <c r="N8" i="17"/>
  <c r="O8" i="17"/>
  <c r="P8" i="17"/>
  <c r="Q8" i="17"/>
  <c r="N9" i="17"/>
  <c r="P9" i="17"/>
  <c r="Q9" i="17"/>
  <c r="L8" i="17"/>
  <c r="L9" i="17"/>
  <c r="M9" i="17"/>
  <c r="M8" i="17"/>
  <c r="AC8" i="17"/>
  <c r="V7" i="17"/>
  <c r="W7" i="17"/>
  <c r="AC7" i="17" s="1"/>
  <c r="E8" i="17"/>
  <c r="F8" i="17"/>
  <c r="G8" i="17"/>
  <c r="H8" i="17"/>
  <c r="D8" i="17"/>
  <c r="K69" i="19"/>
  <c r="L69" i="19"/>
  <c r="F42" i="33"/>
  <c r="F45" i="19"/>
  <c r="E28" i="17" l="1"/>
  <c r="S8" i="17"/>
  <c r="J17" i="17"/>
  <c r="E24" i="11"/>
  <c r="AL8" i="17"/>
  <c r="L30" i="17"/>
  <c r="R24" i="17"/>
  <c r="L28" i="17"/>
  <c r="J8" i="17"/>
  <c r="D35" i="38"/>
  <c r="D27" i="38"/>
  <c r="O22" i="42"/>
  <c r="N22" i="42"/>
  <c r="M22" i="42"/>
  <c r="L22" i="42"/>
  <c r="K22" i="42"/>
  <c r="N13" i="42"/>
  <c r="M13" i="42"/>
  <c r="L13" i="42"/>
  <c r="O21" i="42"/>
  <c r="O20" i="42"/>
  <c r="O19" i="42"/>
  <c r="O18" i="42"/>
  <c r="O17" i="42"/>
  <c r="O15" i="42"/>
  <c r="O14" i="42"/>
  <c r="O12" i="42"/>
  <c r="O11" i="42"/>
  <c r="O10" i="42"/>
  <c r="O9" i="42"/>
  <c r="O8" i="42"/>
  <c r="O7" i="42"/>
  <c r="J15" i="42"/>
  <c r="J16" i="42"/>
  <c r="K16" i="42" s="1"/>
  <c r="J17" i="42"/>
  <c r="J18" i="42"/>
  <c r="J19" i="42"/>
  <c r="J20" i="42"/>
  <c r="J21" i="42"/>
  <c r="J14" i="42"/>
  <c r="I13" i="42"/>
  <c r="H13" i="42"/>
  <c r="G13" i="42"/>
  <c r="F13" i="42"/>
  <c r="E13" i="42"/>
  <c r="D13" i="42"/>
  <c r="J12" i="42"/>
  <c r="J11" i="42"/>
  <c r="I10" i="42"/>
  <c r="H10" i="42"/>
  <c r="G10" i="42"/>
  <c r="F10" i="42"/>
  <c r="E10" i="42"/>
  <c r="D10" i="42"/>
  <c r="J9" i="42"/>
  <c r="J8" i="42"/>
  <c r="I7" i="42"/>
  <c r="H7" i="42"/>
  <c r="G7" i="42"/>
  <c r="G22" i="42" s="1"/>
  <c r="F7" i="42"/>
  <c r="E7" i="42"/>
  <c r="D7" i="42"/>
  <c r="R28" i="17" l="1"/>
  <c r="R30" i="17"/>
  <c r="K13" i="42"/>
  <c r="O13" i="42" s="1"/>
  <c r="O16" i="42"/>
  <c r="J7" i="42"/>
  <c r="H22" i="42"/>
  <c r="I22" i="42"/>
  <c r="J10" i="42"/>
  <c r="E22" i="42"/>
  <c r="D22" i="42"/>
  <c r="J13" i="42"/>
  <c r="F22" i="42"/>
  <c r="D42" i="19"/>
  <c r="K23" i="19"/>
  <c r="K34" i="19" s="1"/>
  <c r="K37" i="19" s="1"/>
  <c r="L23" i="19"/>
  <c r="L34" i="19" s="1"/>
  <c r="L37" i="19" s="1"/>
  <c r="K33" i="19"/>
  <c r="L33" i="19"/>
  <c r="L41" i="19"/>
  <c r="L56" i="19" s="1"/>
  <c r="L65" i="19" s="1"/>
  <c r="L68" i="19" s="1"/>
  <c r="K46" i="19"/>
  <c r="K41" i="19" s="1"/>
  <c r="K56" i="19" s="1"/>
  <c r="K65" i="19" s="1"/>
  <c r="K68" i="19" s="1"/>
  <c r="K52" i="19"/>
  <c r="K64" i="19"/>
  <c r="M5" i="17" l="1"/>
  <c r="J22" i="42"/>
  <c r="CF27" i="7" l="1"/>
  <c r="CF28" i="7"/>
  <c r="CF29" i="7"/>
  <c r="CF30" i="7"/>
  <c r="CF31" i="7"/>
  <c r="CF32" i="7"/>
  <c r="CF33" i="7"/>
  <c r="CF34" i="7"/>
  <c r="CF35" i="7"/>
  <c r="CF37" i="7"/>
  <c r="CF38" i="7"/>
  <c r="CF39" i="7"/>
  <c r="CF40" i="7"/>
  <c r="CF41" i="7"/>
  <c r="CF42" i="7"/>
  <c r="D15" i="19"/>
  <c r="C15" i="19"/>
  <c r="D7" i="19"/>
  <c r="I58" i="19"/>
  <c r="J58" i="19"/>
  <c r="D49" i="19"/>
  <c r="D59" i="19"/>
  <c r="M25" i="17" s="1"/>
  <c r="S25" i="17" s="1"/>
  <c r="D61" i="19"/>
  <c r="D58" i="19"/>
  <c r="M18" i="17" s="1"/>
  <c r="D57" i="19"/>
  <c r="C27" i="19"/>
  <c r="I26" i="19"/>
  <c r="J26" i="19"/>
  <c r="I28" i="19"/>
  <c r="J28" i="19"/>
  <c r="I29" i="19"/>
  <c r="J29" i="19"/>
  <c r="I30" i="19"/>
  <c r="J30" i="19"/>
  <c r="I31" i="19"/>
  <c r="J31" i="19"/>
  <c r="I32" i="19"/>
  <c r="J32" i="19"/>
  <c r="I35" i="19"/>
  <c r="J35" i="19"/>
  <c r="I36" i="19"/>
  <c r="J36" i="19"/>
  <c r="D25" i="19"/>
  <c r="J25" i="19" s="1"/>
  <c r="C25" i="19"/>
  <c r="I25" i="19" s="1"/>
  <c r="CK43" i="7"/>
  <c r="BV28" i="7"/>
  <c r="I27" i="19" l="1"/>
  <c r="I33" i="19" s="1"/>
  <c r="V18" i="17"/>
  <c r="S18" i="17"/>
  <c r="S28" i="17" s="1"/>
  <c r="M28" i="17"/>
  <c r="D64" i="19"/>
  <c r="AF20" i="17"/>
  <c r="C33" i="19"/>
  <c r="C23" i="17"/>
  <c r="D23" i="17"/>
  <c r="I55" i="33"/>
  <c r="J55" i="33"/>
  <c r="I56" i="33"/>
  <c r="J56" i="33"/>
  <c r="I57" i="33"/>
  <c r="J57" i="33"/>
  <c r="I58" i="33"/>
  <c r="J58" i="33"/>
  <c r="I59" i="33"/>
  <c r="J59" i="33"/>
  <c r="I60" i="33"/>
  <c r="J60" i="33"/>
  <c r="D12" i="33"/>
  <c r="D7" i="33"/>
  <c r="D10" i="33"/>
  <c r="BL28" i="7"/>
  <c r="BB28" i="7"/>
  <c r="AR28" i="7"/>
  <c r="AH28" i="7"/>
  <c r="X28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N28" i="7"/>
  <c r="D26" i="7"/>
  <c r="AF28" i="17" l="1"/>
  <c r="AL20" i="17"/>
  <c r="AL28" i="17" s="1"/>
  <c r="C22" i="17"/>
  <c r="C28" i="17" s="1"/>
  <c r="I23" i="17"/>
  <c r="V17" i="17"/>
  <c r="V28" i="17" s="1"/>
  <c r="AB28" i="17" s="1"/>
  <c r="AB18" i="17"/>
  <c r="AB17" i="17" s="1"/>
  <c r="D22" i="17"/>
  <c r="D28" i="17" s="1"/>
  <c r="J23" i="17"/>
  <c r="J22" i="17" s="1"/>
  <c r="J28" i="17" s="1"/>
  <c r="D43" i="33"/>
  <c r="C43" i="33"/>
  <c r="I44" i="33"/>
  <c r="J44" i="33"/>
  <c r="D39" i="13"/>
  <c r="E39" i="13"/>
  <c r="F39" i="13"/>
  <c r="G39" i="13"/>
  <c r="H39" i="13"/>
  <c r="C39" i="13"/>
  <c r="I38" i="13"/>
  <c r="J38" i="13"/>
  <c r="J27" i="13"/>
  <c r="J28" i="13"/>
  <c r="J29" i="13"/>
  <c r="J30" i="13"/>
  <c r="J31" i="13"/>
  <c r="J32" i="13"/>
  <c r="J33" i="13"/>
  <c r="J34" i="13"/>
  <c r="J35" i="13"/>
  <c r="J36" i="13"/>
  <c r="J37" i="13"/>
  <c r="D27" i="13"/>
  <c r="J16" i="13"/>
  <c r="J15" i="13"/>
  <c r="J14" i="13"/>
  <c r="J13" i="13"/>
  <c r="J12" i="13"/>
  <c r="J11" i="13"/>
  <c r="J10" i="13"/>
  <c r="J9" i="13"/>
  <c r="J8" i="13"/>
  <c r="J7" i="13"/>
  <c r="H18" i="13"/>
  <c r="F18" i="13"/>
  <c r="D18" i="13"/>
  <c r="J39" i="13" l="1"/>
  <c r="J18" i="13"/>
  <c r="D28" i="40" l="1"/>
  <c r="E28" i="40"/>
  <c r="F28" i="40"/>
  <c r="C28" i="40"/>
  <c r="C29" i="40" s="1"/>
  <c r="I29" i="40"/>
  <c r="G25" i="40"/>
  <c r="G26" i="40" s="1"/>
  <c r="L7" i="40"/>
  <c r="J6" i="40"/>
  <c r="I6" i="40"/>
  <c r="I12" i="40" s="1"/>
  <c r="H6" i="40"/>
  <c r="D27" i="40" s="1"/>
  <c r="G6" i="40"/>
  <c r="G12" i="40" s="1"/>
  <c r="D6" i="40"/>
  <c r="K29" i="40"/>
  <c r="J25" i="40"/>
  <c r="J26" i="40" s="1"/>
  <c r="F25" i="40"/>
  <c r="F26" i="40" s="1"/>
  <c r="L24" i="40"/>
  <c r="L23" i="40"/>
  <c r="K23" i="40"/>
  <c r="L22" i="40"/>
  <c r="L21" i="40"/>
  <c r="K20" i="40"/>
  <c r="L20" i="40" s="1"/>
  <c r="L19" i="40"/>
  <c r="K18" i="40"/>
  <c r="K25" i="40" s="1"/>
  <c r="K26" i="40" s="1"/>
  <c r="I25" i="40"/>
  <c r="I26" i="40" s="1"/>
  <c r="H25" i="40"/>
  <c r="H26" i="40" s="1"/>
  <c r="E25" i="40"/>
  <c r="E26" i="40" s="1"/>
  <c r="D25" i="40"/>
  <c r="D26" i="40" s="1"/>
  <c r="L9" i="40"/>
  <c r="L8" i="40"/>
  <c r="K30" i="40" l="1"/>
  <c r="J12" i="40"/>
  <c r="J29" i="40"/>
  <c r="J30" i="40" s="1"/>
  <c r="I30" i="40"/>
  <c r="H29" i="40"/>
  <c r="H30" i="40" s="1"/>
  <c r="G29" i="40"/>
  <c r="G30" i="40" s="1"/>
  <c r="L28" i="40"/>
  <c r="L18" i="40"/>
  <c r="D29" i="40"/>
  <c r="D30" i="40" s="1"/>
  <c r="F27" i="40"/>
  <c r="F29" i="40" s="1"/>
  <c r="F30" i="40" s="1"/>
  <c r="H12" i="40"/>
  <c r="L6" i="40"/>
  <c r="K12" i="40"/>
  <c r="E27" i="40"/>
  <c r="E29" i="40" s="1"/>
  <c r="C25" i="40"/>
  <c r="L12" i="40" l="1"/>
  <c r="L29" i="40"/>
  <c r="L27" i="40"/>
  <c r="C26" i="40"/>
  <c r="L25" i="40"/>
  <c r="E30" i="40"/>
  <c r="C30" i="40" l="1"/>
  <c r="L30" i="40" s="1"/>
  <c r="L26" i="40"/>
  <c r="J45" i="19" l="1"/>
  <c r="J47" i="19"/>
  <c r="J48" i="19"/>
  <c r="J49" i="19"/>
  <c r="J50" i="19"/>
  <c r="J55" i="19"/>
  <c r="J57" i="19"/>
  <c r="J59" i="19"/>
  <c r="J60" i="19"/>
  <c r="J61" i="19"/>
  <c r="J63" i="19"/>
  <c r="J66" i="19"/>
  <c r="H42" i="19"/>
  <c r="Q5" i="17" s="1"/>
  <c r="H43" i="19"/>
  <c r="Q6" i="17" s="1"/>
  <c r="H44" i="19"/>
  <c r="Q7" i="17" s="1"/>
  <c r="H46" i="19"/>
  <c r="H53" i="19"/>
  <c r="AJ5" i="17" s="1"/>
  <c r="H54" i="19"/>
  <c r="AJ6" i="17" s="1"/>
  <c r="F42" i="19"/>
  <c r="O5" i="17" s="1"/>
  <c r="F43" i="19"/>
  <c r="O6" i="17" s="1"/>
  <c r="F44" i="19"/>
  <c r="O7" i="17" s="1"/>
  <c r="F46" i="19"/>
  <c r="O9" i="17" s="1"/>
  <c r="S9" i="17" s="1"/>
  <c r="F53" i="19"/>
  <c r="AH5" i="17" s="1"/>
  <c r="F54" i="19"/>
  <c r="D43" i="19"/>
  <c r="D46" i="19"/>
  <c r="D53" i="19"/>
  <c r="D54" i="19"/>
  <c r="AF6" i="17" s="1"/>
  <c r="J7" i="19"/>
  <c r="J8" i="19"/>
  <c r="J9" i="19"/>
  <c r="J10" i="19"/>
  <c r="J13" i="19"/>
  <c r="J14" i="19"/>
  <c r="J15" i="19"/>
  <c r="J16" i="19"/>
  <c r="J17" i="19"/>
  <c r="J18" i="19"/>
  <c r="J21" i="19"/>
  <c r="J22" i="19"/>
  <c r="J24" i="19"/>
  <c r="H5" i="19"/>
  <c r="H5" i="17" s="1"/>
  <c r="H6" i="19"/>
  <c r="H6" i="17" s="1"/>
  <c r="H7" i="19"/>
  <c r="H11" i="19"/>
  <c r="AA5" i="17" s="1"/>
  <c r="H12" i="19"/>
  <c r="H7" i="17" s="1"/>
  <c r="H19" i="19"/>
  <c r="H9" i="17" s="1"/>
  <c r="H20" i="19"/>
  <c r="AA6" i="17" s="1"/>
  <c r="F5" i="19"/>
  <c r="F5" i="17" s="1"/>
  <c r="F6" i="19"/>
  <c r="F6" i="17" s="1"/>
  <c r="F7" i="19"/>
  <c r="F11" i="19"/>
  <c r="Y5" i="17" s="1"/>
  <c r="F12" i="19"/>
  <c r="F7" i="17" s="1"/>
  <c r="F19" i="19"/>
  <c r="F9" i="17" s="1"/>
  <c r="F20" i="19"/>
  <c r="Y6" i="17" s="1"/>
  <c r="D5" i="19"/>
  <c r="D11" i="19"/>
  <c r="D12" i="19"/>
  <c r="D7" i="17" s="1"/>
  <c r="D19" i="19"/>
  <c r="D20" i="19"/>
  <c r="W6" i="17" s="1"/>
  <c r="I25" i="33"/>
  <c r="J25" i="33"/>
  <c r="I26" i="33"/>
  <c r="J26" i="33"/>
  <c r="I27" i="33"/>
  <c r="J27" i="33"/>
  <c r="I28" i="33"/>
  <c r="J28" i="33"/>
  <c r="I29" i="33"/>
  <c r="J29" i="33"/>
  <c r="I30" i="33"/>
  <c r="J30" i="33"/>
  <c r="I31" i="33"/>
  <c r="J31" i="33"/>
  <c r="I32" i="33"/>
  <c r="J32" i="33"/>
  <c r="D33" i="33"/>
  <c r="AJ16" i="17" l="1"/>
  <c r="AJ29" i="17" s="1"/>
  <c r="AJ31" i="17" s="1"/>
  <c r="F16" i="17"/>
  <c r="F29" i="17" s="1"/>
  <c r="F31" i="17" s="1"/>
  <c r="J11" i="19"/>
  <c r="W5" i="17"/>
  <c r="J64" i="19"/>
  <c r="D5" i="17"/>
  <c r="AA16" i="17"/>
  <c r="AA29" i="17" s="1"/>
  <c r="AA31" i="17" s="1"/>
  <c r="Q16" i="17"/>
  <c r="Q29" i="17" s="1"/>
  <c r="Q31" i="17" s="1"/>
  <c r="Y16" i="17"/>
  <c r="Y29" i="17" s="1"/>
  <c r="Y31" i="17" s="1"/>
  <c r="F52" i="19"/>
  <c r="AH6" i="17"/>
  <c r="AL6" i="17" s="1"/>
  <c r="AC6" i="17"/>
  <c r="J19" i="19"/>
  <c r="D9" i="17"/>
  <c r="J9" i="17" s="1"/>
  <c r="AF5" i="17"/>
  <c r="D52" i="19"/>
  <c r="O16" i="17"/>
  <c r="O29" i="17" s="1"/>
  <c r="O31" i="17" s="1"/>
  <c r="S5" i="17"/>
  <c r="J7" i="17"/>
  <c r="H16" i="17"/>
  <c r="H29" i="17" s="1"/>
  <c r="H31" i="17" s="1"/>
  <c r="M6" i="17"/>
  <c r="J20" i="19"/>
  <c r="J53" i="19"/>
  <c r="H41" i="19"/>
  <c r="F23" i="19"/>
  <c r="F34" i="19" s="1"/>
  <c r="F37" i="19" s="1"/>
  <c r="J43" i="19"/>
  <c r="J12" i="19"/>
  <c r="H52" i="19"/>
  <c r="F41" i="19"/>
  <c r="H23" i="19"/>
  <c r="H34" i="19" s="1"/>
  <c r="H37" i="19" s="1"/>
  <c r="J54" i="19"/>
  <c r="J5" i="19"/>
  <c r="J46" i="19"/>
  <c r="F56" i="19" l="1"/>
  <c r="F65" i="19" s="1"/>
  <c r="F68" i="19" s="1"/>
  <c r="F69" i="19" s="1"/>
  <c r="AL5" i="17"/>
  <c r="AL16" i="17" s="1"/>
  <c r="AL29" i="17" s="1"/>
  <c r="AL31" i="17" s="1"/>
  <c r="AF16" i="17"/>
  <c r="AF29" i="17" s="1"/>
  <c r="AF31" i="17" s="1"/>
  <c r="J5" i="17"/>
  <c r="AH16" i="17"/>
  <c r="AH29" i="17" s="1"/>
  <c r="AH31" i="17" s="1"/>
  <c r="S6" i="17"/>
  <c r="AC5" i="17"/>
  <c r="AC16" i="17" s="1"/>
  <c r="W16" i="17"/>
  <c r="J52" i="19"/>
  <c r="H56" i="19"/>
  <c r="H65" i="19" s="1"/>
  <c r="H68" i="19" s="1"/>
  <c r="H69" i="19" s="1"/>
  <c r="BV17" i="7" l="1"/>
  <c r="BV18" i="7"/>
  <c r="D17" i="7" l="1"/>
  <c r="D18" i="7"/>
  <c r="D28" i="7"/>
  <c r="D40" i="33"/>
  <c r="J40" i="33" s="1"/>
  <c r="D39" i="33"/>
  <c r="J39" i="33" s="1"/>
  <c r="BV27" i="7"/>
  <c r="BV26" i="7"/>
  <c r="CL5" i="7"/>
  <c r="CL6" i="7"/>
  <c r="CL7" i="7"/>
  <c r="CE32" i="7"/>
  <c r="BR5" i="7"/>
  <c r="BR6" i="7"/>
  <c r="BR7" i="7"/>
  <c r="BR8" i="7"/>
  <c r="BR9" i="7"/>
  <c r="BR10" i="7"/>
  <c r="BR11" i="7"/>
  <c r="BR12" i="7"/>
  <c r="BR13" i="7"/>
  <c r="BR14" i="7"/>
  <c r="BR15" i="7"/>
  <c r="BR16" i="7"/>
  <c r="BR17" i="7"/>
  <c r="BR18" i="7"/>
  <c r="BR19" i="7"/>
  <c r="BR20" i="7"/>
  <c r="CA44" i="7"/>
  <c r="BU25" i="7"/>
  <c r="BL25" i="7"/>
  <c r="BK32" i="7"/>
  <c r="BB32" i="7"/>
  <c r="AM44" i="7"/>
  <c r="AC44" i="7"/>
  <c r="X32" i="7"/>
  <c r="W32" i="7"/>
  <c r="M36" i="7"/>
  <c r="N32" i="7"/>
  <c r="M32" i="7"/>
  <c r="D13" i="7"/>
  <c r="C32" i="7"/>
  <c r="D24" i="33"/>
  <c r="D16" i="33"/>
  <c r="J16" i="33" s="1"/>
  <c r="D18" i="33"/>
  <c r="J18" i="33" s="1"/>
  <c r="D19" i="33"/>
  <c r="J19" i="33" s="1"/>
  <c r="J20" i="33"/>
  <c r="C12" i="33"/>
  <c r="I12" i="33" s="1"/>
  <c r="D15" i="33"/>
  <c r="J15" i="33" s="1"/>
  <c r="F23" i="33"/>
  <c r="F34" i="33" s="1"/>
  <c r="D14" i="33"/>
  <c r="J14" i="33" s="1"/>
  <c r="D13" i="33"/>
  <c r="J13" i="33" s="1"/>
  <c r="J8" i="33"/>
  <c r="F33" i="33"/>
  <c r="F7" i="33"/>
  <c r="C15" i="33"/>
  <c r="I15" i="33" s="1"/>
  <c r="J5" i="33"/>
  <c r="J9" i="33"/>
  <c r="J10" i="33"/>
  <c r="J11" i="33"/>
  <c r="J17" i="33"/>
  <c r="J21" i="33"/>
  <c r="J22" i="33"/>
  <c r="J24" i="33"/>
  <c r="I8" i="33"/>
  <c r="I9" i="33"/>
  <c r="I10" i="33"/>
  <c r="I11" i="33"/>
  <c r="I13" i="33"/>
  <c r="I14" i="33"/>
  <c r="I16" i="33"/>
  <c r="I17" i="33"/>
  <c r="I18" i="33"/>
  <c r="I19" i="33"/>
  <c r="I20" i="33"/>
  <c r="I21" i="33"/>
  <c r="I22" i="33"/>
  <c r="I24" i="33"/>
  <c r="I5" i="33"/>
  <c r="D61" i="33"/>
  <c r="C61" i="33"/>
  <c r="C49" i="33"/>
  <c r="J48" i="33"/>
  <c r="I48" i="33"/>
  <c r="C7" i="33"/>
  <c r="C6" i="33" s="1"/>
  <c r="I6" i="33" s="1"/>
  <c r="J41" i="33"/>
  <c r="J42" i="33"/>
  <c r="J45" i="33"/>
  <c r="J47" i="33"/>
  <c r="J50" i="33"/>
  <c r="J51" i="33"/>
  <c r="J52" i="33"/>
  <c r="J54" i="33"/>
  <c r="F61" i="33"/>
  <c r="F49" i="33"/>
  <c r="F43" i="33"/>
  <c r="F38" i="33" s="1"/>
  <c r="D49" i="33"/>
  <c r="J49" i="33" s="1"/>
  <c r="C38" i="33"/>
  <c r="C53" i="33" s="1"/>
  <c r="J43" i="33" l="1"/>
  <c r="J46" i="33"/>
  <c r="J61" i="33"/>
  <c r="D38" i="33"/>
  <c r="J38" i="33" s="1"/>
  <c r="J33" i="33"/>
  <c r="J12" i="33"/>
  <c r="F53" i="33"/>
  <c r="F62" i="33" s="1"/>
  <c r="F66" i="33" s="1"/>
  <c r="CL8" i="7"/>
  <c r="CL10" i="7"/>
  <c r="CL11" i="7"/>
  <c r="CL12" i="7"/>
  <c r="CL14" i="7"/>
  <c r="CL15" i="7"/>
  <c r="CL19" i="7"/>
  <c r="CL20" i="7"/>
  <c r="CJ8" i="7"/>
  <c r="CJ9" i="7"/>
  <c r="CJ10" i="7"/>
  <c r="CJ11" i="7"/>
  <c r="CJ12" i="7"/>
  <c r="CJ13" i="7"/>
  <c r="CJ14" i="7"/>
  <c r="CJ15" i="7"/>
  <c r="CJ16" i="7"/>
  <c r="CJ17" i="7"/>
  <c r="CJ18" i="7"/>
  <c r="CJ19" i="7"/>
  <c r="CJ20" i="7"/>
  <c r="CJ21" i="7"/>
  <c r="CJ22" i="7"/>
  <c r="CH8" i="7"/>
  <c r="CH9" i="7"/>
  <c r="CH10" i="7"/>
  <c r="CH11" i="7"/>
  <c r="CH12" i="7"/>
  <c r="CH13" i="7"/>
  <c r="CH14" i="7"/>
  <c r="CH15" i="7"/>
  <c r="CH16" i="7"/>
  <c r="CH17" i="7"/>
  <c r="CH18" i="7"/>
  <c r="CH19" i="7"/>
  <c r="CH20" i="7"/>
  <c r="CH21" i="7"/>
  <c r="CH22" i="7"/>
  <c r="CF5" i="7"/>
  <c r="CF6" i="7"/>
  <c r="CF7" i="7"/>
  <c r="CF8" i="7"/>
  <c r="CF9" i="7"/>
  <c r="CF10" i="7"/>
  <c r="CF11" i="7"/>
  <c r="CF12" i="7"/>
  <c r="CF14" i="7"/>
  <c r="CF15" i="7"/>
  <c r="CF16" i="7"/>
  <c r="D27" i="19" s="1"/>
  <c r="CF17" i="7"/>
  <c r="CF18" i="7"/>
  <c r="CF19" i="7"/>
  <c r="CF20" i="7"/>
  <c r="CL29" i="7"/>
  <c r="CL31" i="7"/>
  <c r="CL34" i="7"/>
  <c r="CL35" i="7"/>
  <c r="CL37" i="7"/>
  <c r="CL38" i="7"/>
  <c r="CL39" i="7"/>
  <c r="CL40" i="7"/>
  <c r="CL41" i="7"/>
  <c r="CL42" i="7"/>
  <c r="CJ25" i="7"/>
  <c r="CJ26" i="7"/>
  <c r="CJ27" i="7"/>
  <c r="CJ28" i="7"/>
  <c r="CJ29" i="7"/>
  <c r="CJ30" i="7"/>
  <c r="CJ31" i="7"/>
  <c r="CJ32" i="7"/>
  <c r="CJ33" i="7"/>
  <c r="CJ34" i="7"/>
  <c r="CJ35" i="7"/>
  <c r="CJ36" i="7"/>
  <c r="CJ37" i="7"/>
  <c r="CJ38" i="7"/>
  <c r="CJ39" i="7"/>
  <c r="CJ40" i="7"/>
  <c r="CJ41" i="7"/>
  <c r="CJ42" i="7"/>
  <c r="CJ43" i="7"/>
  <c r="CH25" i="7"/>
  <c r="CH26" i="7"/>
  <c r="CH27" i="7"/>
  <c r="CH28" i="7"/>
  <c r="CH29" i="7"/>
  <c r="CH30" i="7"/>
  <c r="CH31" i="7"/>
  <c r="CH32" i="7"/>
  <c r="CH33" i="7"/>
  <c r="CH34" i="7"/>
  <c r="CH35" i="7"/>
  <c r="CH36" i="7"/>
  <c r="CH37" i="7"/>
  <c r="CH38" i="7"/>
  <c r="CH39" i="7"/>
  <c r="CH40" i="7"/>
  <c r="CH41" i="7"/>
  <c r="CH42" i="7"/>
  <c r="CH43" i="7"/>
  <c r="CF26" i="7"/>
  <c r="D44" i="19"/>
  <c r="CB26" i="7"/>
  <c r="CB27" i="7"/>
  <c r="CB28" i="7"/>
  <c r="CB29" i="7"/>
  <c r="CB30" i="7"/>
  <c r="CB31" i="7"/>
  <c r="CB33" i="7"/>
  <c r="CB34" i="7"/>
  <c r="CB35" i="7"/>
  <c r="CB37" i="7"/>
  <c r="CB38" i="7"/>
  <c r="CB39" i="7"/>
  <c r="CB40" i="7"/>
  <c r="CB41" i="7"/>
  <c r="CB42" i="7"/>
  <c r="BZ25" i="7"/>
  <c r="BZ36" i="7" s="1"/>
  <c r="BZ43" i="7" s="1"/>
  <c r="BZ32" i="7"/>
  <c r="BZ42" i="7"/>
  <c r="BX25" i="7"/>
  <c r="BX36" i="7" s="1"/>
  <c r="BX43" i="7" s="1"/>
  <c r="BX32" i="7"/>
  <c r="BX42" i="7"/>
  <c r="BV25" i="7"/>
  <c r="BV32" i="7"/>
  <c r="CB32" i="7" s="1"/>
  <c r="BV42" i="7"/>
  <c r="CB5" i="7"/>
  <c r="CB6" i="7"/>
  <c r="CB7" i="7"/>
  <c r="CB8" i="7"/>
  <c r="CB9" i="7"/>
  <c r="CB10" i="7"/>
  <c r="CB11" i="7"/>
  <c r="CB12" i="7"/>
  <c r="CB13" i="7"/>
  <c r="CB14" i="7"/>
  <c r="CB15" i="7"/>
  <c r="CB16" i="7"/>
  <c r="CB17" i="7"/>
  <c r="CB18" i="7"/>
  <c r="CB19" i="7"/>
  <c r="CB20" i="7"/>
  <c r="BZ13" i="7"/>
  <c r="BZ21" i="7"/>
  <c r="BZ22" i="7"/>
  <c r="BX13" i="7"/>
  <c r="BX22" i="7" s="1"/>
  <c r="BX21" i="7"/>
  <c r="BV13" i="7"/>
  <c r="BV21" i="7"/>
  <c r="CB21" i="7" s="1"/>
  <c r="BR25" i="7"/>
  <c r="BR26" i="7"/>
  <c r="BR27" i="7"/>
  <c r="BR28" i="7"/>
  <c r="BR29" i="7"/>
  <c r="BR30" i="7"/>
  <c r="BR31" i="7"/>
  <c r="BR33" i="7"/>
  <c r="BR34" i="7"/>
  <c r="BR35" i="7"/>
  <c r="BR37" i="7"/>
  <c r="BR38" i="7"/>
  <c r="BR39" i="7"/>
  <c r="BR40" i="7"/>
  <c r="BR41" i="7"/>
  <c r="BR42" i="7"/>
  <c r="BP25" i="7"/>
  <c r="BP36" i="7" s="1"/>
  <c r="BP43" i="7" s="1"/>
  <c r="BP32" i="7"/>
  <c r="BP42" i="7"/>
  <c r="BN25" i="7"/>
  <c r="BN36" i="7" s="1"/>
  <c r="BN43" i="7" s="1"/>
  <c r="BN32" i="7"/>
  <c r="BN42" i="7"/>
  <c r="BL32" i="7"/>
  <c r="BR32" i="7" s="1"/>
  <c r="BL42" i="7"/>
  <c r="BP13" i="7"/>
  <c r="BP22" i="7" s="1"/>
  <c r="BP21" i="7"/>
  <c r="BN13" i="7"/>
  <c r="BN22" i="7" s="1"/>
  <c r="BN21" i="7"/>
  <c r="BL13" i="7"/>
  <c r="BL21" i="7"/>
  <c r="BR21" i="7" s="1"/>
  <c r="BH26" i="7"/>
  <c r="BH27" i="7"/>
  <c r="BH28" i="7"/>
  <c r="BH29" i="7"/>
  <c r="BH30" i="7"/>
  <c r="BH31" i="7"/>
  <c r="BH32" i="7"/>
  <c r="BH33" i="7"/>
  <c r="BH34" i="7"/>
  <c r="BH35" i="7"/>
  <c r="BH37" i="7"/>
  <c r="BH38" i="7"/>
  <c r="BH39" i="7"/>
  <c r="BH40" i="7"/>
  <c r="BH41" i="7"/>
  <c r="BH42" i="7"/>
  <c r="BF25" i="7"/>
  <c r="BF36" i="7" s="1"/>
  <c r="BF43" i="7" s="1"/>
  <c r="BF32" i="7"/>
  <c r="BF42" i="7"/>
  <c r="BD25" i="7"/>
  <c r="BD36" i="7" s="1"/>
  <c r="BD43" i="7" s="1"/>
  <c r="BD32" i="7"/>
  <c r="BD42" i="7"/>
  <c r="BB25" i="7"/>
  <c r="BB36" i="7" s="1"/>
  <c r="BB42" i="7"/>
  <c r="BH5" i="7"/>
  <c r="BH6" i="7"/>
  <c r="BH7" i="7"/>
  <c r="BH8" i="7"/>
  <c r="BH9" i="7"/>
  <c r="BH10" i="7"/>
  <c r="BH11" i="7"/>
  <c r="BH12" i="7"/>
  <c r="BH13" i="7"/>
  <c r="BH14" i="7"/>
  <c r="BH15" i="7"/>
  <c r="BH16" i="7"/>
  <c r="BH17" i="7"/>
  <c r="BH18" i="7"/>
  <c r="BH19" i="7"/>
  <c r="BH20" i="7"/>
  <c r="BF13" i="7"/>
  <c r="BF22" i="7" s="1"/>
  <c r="BF21" i="7"/>
  <c r="BD13" i="7"/>
  <c r="BD22" i="7" s="1"/>
  <c r="BD21" i="7"/>
  <c r="BB13" i="7"/>
  <c r="BB21" i="7"/>
  <c r="BH21" i="7" s="1"/>
  <c r="AX5" i="7"/>
  <c r="AX6" i="7"/>
  <c r="AX7" i="7"/>
  <c r="AX8" i="7"/>
  <c r="AX9" i="7"/>
  <c r="AX10" i="7"/>
  <c r="AX11" i="7"/>
  <c r="AX12" i="7"/>
  <c r="AX13" i="7"/>
  <c r="AX14" i="7"/>
  <c r="AX15" i="7"/>
  <c r="AX16" i="7"/>
  <c r="AX17" i="7"/>
  <c r="AX18" i="7"/>
  <c r="AX19" i="7"/>
  <c r="AX20" i="7"/>
  <c r="AX22" i="7"/>
  <c r="AV13" i="7"/>
  <c r="AV22" i="7" s="1"/>
  <c r="AV21" i="7"/>
  <c r="AT13" i="7"/>
  <c r="AT22" i="7" s="1"/>
  <c r="AT21" i="7"/>
  <c r="AR21" i="7"/>
  <c r="AR22" i="7" s="1"/>
  <c r="AX26" i="7"/>
  <c r="AX27" i="7"/>
  <c r="AX28" i="7"/>
  <c r="AX29" i="7"/>
  <c r="AX30" i="7"/>
  <c r="AX31" i="7"/>
  <c r="AX33" i="7"/>
  <c r="AX34" i="7"/>
  <c r="AX35" i="7"/>
  <c r="AX37" i="7"/>
  <c r="AX38" i="7"/>
  <c r="AX39" i="7"/>
  <c r="AX40" i="7"/>
  <c r="AX41" i="7"/>
  <c r="AX42" i="7"/>
  <c r="AV25" i="7"/>
  <c r="AV36" i="7" s="1"/>
  <c r="AV43" i="7" s="1"/>
  <c r="AV42" i="7"/>
  <c r="AT25" i="7"/>
  <c r="AT36" i="7" s="1"/>
  <c r="AT43" i="7" s="1"/>
  <c r="AT32" i="7"/>
  <c r="AT42" i="7"/>
  <c r="AR25" i="7"/>
  <c r="AR32" i="7"/>
  <c r="AX32" i="7" s="1"/>
  <c r="AR42" i="7"/>
  <c r="AN26" i="7"/>
  <c r="AN27" i="7"/>
  <c r="AN28" i="7"/>
  <c r="AN29" i="7"/>
  <c r="AN30" i="7"/>
  <c r="AN31" i="7"/>
  <c r="AN33" i="7"/>
  <c r="AN34" i="7"/>
  <c r="AN35" i="7"/>
  <c r="AN37" i="7"/>
  <c r="AN38" i="7"/>
  <c r="AN39" i="7"/>
  <c r="AN40" i="7"/>
  <c r="AN41" i="7"/>
  <c r="AN42" i="7"/>
  <c r="AL25" i="7"/>
  <c r="AL36" i="7" s="1"/>
  <c r="AL43" i="7" s="1"/>
  <c r="AL32" i="7"/>
  <c r="AL42" i="7"/>
  <c r="AJ25" i="7"/>
  <c r="AJ32" i="7"/>
  <c r="AJ36" i="7"/>
  <c r="AJ43" i="7" s="1"/>
  <c r="AJ42" i="7"/>
  <c r="AH25" i="7"/>
  <c r="AH36" i="7" s="1"/>
  <c r="AH43" i="7" s="1"/>
  <c r="AN43" i="7" s="1"/>
  <c r="AH32" i="7"/>
  <c r="AN32" i="7" s="1"/>
  <c r="AH42" i="7"/>
  <c r="AN5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L13" i="7"/>
  <c r="AL22" i="7" s="1"/>
  <c r="AL21" i="7"/>
  <c r="AJ13" i="7"/>
  <c r="AJ21" i="7"/>
  <c r="AJ22" i="7"/>
  <c r="AH13" i="7"/>
  <c r="AH21" i="7"/>
  <c r="AN21" i="7" s="1"/>
  <c r="AD26" i="7"/>
  <c r="AD27" i="7"/>
  <c r="AD28" i="7"/>
  <c r="AD29" i="7"/>
  <c r="AD30" i="7"/>
  <c r="AD31" i="7"/>
  <c r="AD32" i="7"/>
  <c r="AD33" i="7"/>
  <c r="AD34" i="7"/>
  <c r="AD35" i="7"/>
  <c r="AD37" i="7"/>
  <c r="AD38" i="7"/>
  <c r="AD39" i="7"/>
  <c r="AD40" i="7"/>
  <c r="AD41" i="7"/>
  <c r="AD42" i="7"/>
  <c r="AB25" i="7"/>
  <c r="AB36" i="7" s="1"/>
  <c r="AB43" i="7" s="1"/>
  <c r="AB32" i="7"/>
  <c r="AB42" i="7"/>
  <c r="Z25" i="7"/>
  <c r="Z36" i="7" s="1"/>
  <c r="Z43" i="7" s="1"/>
  <c r="Z32" i="7"/>
  <c r="Z42" i="7"/>
  <c r="AD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B13" i="7"/>
  <c r="AB22" i="7" s="1"/>
  <c r="AB21" i="7"/>
  <c r="Z13" i="7"/>
  <c r="Z22" i="7" s="1"/>
  <c r="Z21" i="7"/>
  <c r="X13" i="7"/>
  <c r="CF13" i="7" s="1"/>
  <c r="X21" i="7"/>
  <c r="X22" i="7" s="1"/>
  <c r="AD22" i="7" s="1"/>
  <c r="R25" i="7"/>
  <c r="R36" i="7" s="1"/>
  <c r="R43" i="7" s="1"/>
  <c r="R32" i="7"/>
  <c r="R42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R13" i="7"/>
  <c r="R22" i="7" s="1"/>
  <c r="R21" i="7"/>
  <c r="P13" i="7"/>
  <c r="P22" i="7" s="1"/>
  <c r="P21" i="7"/>
  <c r="N13" i="7"/>
  <c r="N21" i="7"/>
  <c r="J26" i="7"/>
  <c r="J27" i="7"/>
  <c r="J28" i="7"/>
  <c r="J29" i="7"/>
  <c r="J30" i="7"/>
  <c r="J31" i="7"/>
  <c r="J33" i="7"/>
  <c r="J34" i="7"/>
  <c r="J35" i="7"/>
  <c r="J37" i="7"/>
  <c r="J38" i="7"/>
  <c r="J39" i="7"/>
  <c r="J40" i="7"/>
  <c r="J41" i="7"/>
  <c r="J42" i="7"/>
  <c r="H25" i="7"/>
  <c r="H36" i="7" s="1"/>
  <c r="H43" i="7" s="1"/>
  <c r="H32" i="7"/>
  <c r="H42" i="7"/>
  <c r="F32" i="7"/>
  <c r="F36" i="7" s="1"/>
  <c r="F43" i="7" s="1"/>
  <c r="F42" i="7"/>
  <c r="D25" i="7"/>
  <c r="D32" i="7"/>
  <c r="J32" i="7" s="1"/>
  <c r="D42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H13" i="7"/>
  <c r="H22" i="7" s="1"/>
  <c r="H21" i="7"/>
  <c r="F21" i="7"/>
  <c r="F22" i="7"/>
  <c r="D21" i="7"/>
  <c r="P25" i="7"/>
  <c r="P36" i="7" s="1"/>
  <c r="P43" i="7" s="1"/>
  <c r="P32" i="7"/>
  <c r="P42" i="7"/>
  <c r="N25" i="7"/>
  <c r="N42" i="7"/>
  <c r="X25" i="7"/>
  <c r="X36" i="7" s="1"/>
  <c r="X43" i="7" s="1"/>
  <c r="AD43" i="7" s="1"/>
  <c r="X42" i="7"/>
  <c r="BB43" i="7" l="1"/>
  <c r="CF36" i="7"/>
  <c r="W18" i="17"/>
  <c r="J27" i="19"/>
  <c r="J33" i="19" s="1"/>
  <c r="D33" i="19"/>
  <c r="J44" i="19"/>
  <c r="M7" i="17"/>
  <c r="D41" i="19"/>
  <c r="D56" i="19" s="1"/>
  <c r="J42" i="19"/>
  <c r="BL22" i="7"/>
  <c r="BR22" i="7" s="1"/>
  <c r="BB22" i="7"/>
  <c r="BH22" i="7" s="1"/>
  <c r="AH22" i="7"/>
  <c r="AN22" i="7" s="1"/>
  <c r="AN44" i="7" s="1"/>
  <c r="AD25" i="7"/>
  <c r="AD44" i="7"/>
  <c r="AD21" i="7"/>
  <c r="N36" i="7"/>
  <c r="N43" i="7" s="1"/>
  <c r="CL16" i="7"/>
  <c r="N22" i="7"/>
  <c r="T22" i="7" s="1"/>
  <c r="BV22" i="7"/>
  <c r="CB22" i="7" s="1"/>
  <c r="CF21" i="7"/>
  <c r="D53" i="33"/>
  <c r="D62" i="33" s="1"/>
  <c r="BV36" i="7"/>
  <c r="BV43" i="7" s="1"/>
  <c r="CB43" i="7" s="1"/>
  <c r="CB25" i="7"/>
  <c r="BL36" i="7"/>
  <c r="CL9" i="7"/>
  <c r="CL17" i="7"/>
  <c r="BH25" i="7"/>
  <c r="BH36" i="7"/>
  <c r="CL18" i="7"/>
  <c r="AX21" i="7"/>
  <c r="AR36" i="7"/>
  <c r="AR43" i="7" s="1"/>
  <c r="AX43" i="7" s="1"/>
  <c r="AX44" i="7" s="1"/>
  <c r="AX25" i="7"/>
  <c r="AN36" i="7"/>
  <c r="AN25" i="7"/>
  <c r="AD36" i="7"/>
  <c r="T21" i="7"/>
  <c r="CL13" i="7"/>
  <c r="D22" i="7"/>
  <c r="D36" i="7"/>
  <c r="D43" i="7" s="1"/>
  <c r="CF25" i="7"/>
  <c r="J25" i="7"/>
  <c r="J7" i="33"/>
  <c r="D6" i="33"/>
  <c r="D6" i="19" s="1"/>
  <c r="I22" i="41"/>
  <c r="E22" i="41" s="1"/>
  <c r="D22" i="41"/>
  <c r="BH43" i="7" l="1"/>
  <c r="CL43" i="7" s="1"/>
  <c r="CF43" i="7"/>
  <c r="W17" i="17"/>
  <c r="W28" i="17" s="1"/>
  <c r="AC18" i="17"/>
  <c r="AC17" i="17" s="1"/>
  <c r="D6" i="17"/>
  <c r="D23" i="19"/>
  <c r="D34" i="19" s="1"/>
  <c r="S7" i="17"/>
  <c r="S16" i="17" s="1"/>
  <c r="S29" i="17" s="1"/>
  <c r="M16" i="17"/>
  <c r="M29" i="17" s="1"/>
  <c r="M31" i="17" s="1"/>
  <c r="J6" i="19"/>
  <c r="J41" i="19"/>
  <c r="J53" i="33"/>
  <c r="J62" i="33"/>
  <c r="CL21" i="7"/>
  <c r="CB44" i="7"/>
  <c r="CB36" i="7"/>
  <c r="BL43" i="7"/>
  <c r="BR43" i="7" s="1"/>
  <c r="BR44" i="7" s="1"/>
  <c r="BR36" i="7"/>
  <c r="AX36" i="7"/>
  <c r="CL25" i="7"/>
  <c r="CF22" i="7"/>
  <c r="J22" i="7"/>
  <c r="CL22" i="7" s="1"/>
  <c r="J43" i="7"/>
  <c r="J36" i="7"/>
  <c r="J6" i="33"/>
  <c r="D23" i="33"/>
  <c r="BH44" i="7" l="1"/>
  <c r="AC28" i="17"/>
  <c r="W29" i="17"/>
  <c r="K37" i="17"/>
  <c r="S31" i="17"/>
  <c r="K38" i="17" s="1"/>
  <c r="J6" i="17"/>
  <c r="J16" i="17" s="1"/>
  <c r="J29" i="17" s="1"/>
  <c r="D16" i="17"/>
  <c r="D29" i="17" s="1"/>
  <c r="D31" i="17" s="1"/>
  <c r="J34" i="19"/>
  <c r="J23" i="19"/>
  <c r="D65" i="19"/>
  <c r="J56" i="19"/>
  <c r="J44" i="7"/>
  <c r="J23" i="33"/>
  <c r="D34" i="33"/>
  <c r="D66" i="33" s="1"/>
  <c r="P15" i="13"/>
  <c r="P16" i="13"/>
  <c r="P17" i="13"/>
  <c r="P18" i="13"/>
  <c r="P14" i="13"/>
  <c r="P13" i="13"/>
  <c r="M12" i="13"/>
  <c r="P12" i="13" s="1"/>
  <c r="E24" i="39"/>
  <c r="E15" i="39"/>
  <c r="F8" i="39"/>
  <c r="F9" i="39"/>
  <c r="F10" i="39"/>
  <c r="F11" i="39"/>
  <c r="F12" i="39"/>
  <c r="F13" i="39"/>
  <c r="F14" i="39"/>
  <c r="F16" i="39"/>
  <c r="F17" i="39"/>
  <c r="F18" i="39"/>
  <c r="F19" i="39"/>
  <c r="F20" i="39"/>
  <c r="F21" i="39"/>
  <c r="F22" i="39"/>
  <c r="F7" i="39"/>
  <c r="E47" i="39"/>
  <c r="F41" i="39"/>
  <c r="F42" i="39"/>
  <c r="F43" i="39"/>
  <c r="F44" i="39"/>
  <c r="F45" i="39"/>
  <c r="F46" i="39"/>
  <c r="F47" i="39"/>
  <c r="F30" i="39"/>
  <c r="F31" i="39"/>
  <c r="F32" i="39"/>
  <c r="F33" i="39"/>
  <c r="F34" i="39"/>
  <c r="F35" i="39"/>
  <c r="F36" i="39"/>
  <c r="F37" i="39"/>
  <c r="F38" i="39"/>
  <c r="F39" i="39"/>
  <c r="E40" i="39"/>
  <c r="C34" i="39"/>
  <c r="E29" i="39"/>
  <c r="D29" i="39"/>
  <c r="W31" i="17" l="1"/>
  <c r="AC29" i="17"/>
  <c r="AC31" i="17" s="1"/>
  <c r="AL33" i="17" s="1"/>
  <c r="K35" i="17"/>
  <c r="K39" i="17" s="1"/>
  <c r="J31" i="17"/>
  <c r="D37" i="19"/>
  <c r="J37" i="19" s="1"/>
  <c r="D68" i="19"/>
  <c r="J65" i="19"/>
  <c r="J34" i="33"/>
  <c r="O7" i="11"/>
  <c r="I47" i="19"/>
  <c r="C46" i="19"/>
  <c r="J35" i="33" l="1"/>
  <c r="J66" i="33"/>
  <c r="K36" i="17"/>
  <c r="K40" i="17" s="1"/>
  <c r="S33" i="17"/>
  <c r="J68" i="19"/>
  <c r="J69" i="19" s="1"/>
  <c r="D69" i="19"/>
  <c r="N19" i="35"/>
  <c r="M19" i="35"/>
  <c r="L19" i="35"/>
  <c r="K19" i="35"/>
  <c r="J19" i="35"/>
  <c r="I19" i="35"/>
  <c r="N14" i="35"/>
  <c r="F15" i="35"/>
  <c r="G15" i="35"/>
  <c r="D25" i="35"/>
  <c r="E25" i="35"/>
  <c r="C25" i="35"/>
  <c r="H11" i="35"/>
  <c r="H10" i="35" s="1"/>
  <c r="G11" i="35"/>
  <c r="G10" i="35" s="1"/>
  <c r="I11" i="35"/>
  <c r="I10" i="35" s="1"/>
  <c r="N11" i="35"/>
  <c r="N10" i="35" s="1"/>
  <c r="D10" i="35"/>
  <c r="E10" i="35"/>
  <c r="F10" i="35"/>
  <c r="J10" i="35"/>
  <c r="K10" i="35"/>
  <c r="L10" i="35"/>
  <c r="M10" i="35"/>
  <c r="C10" i="35"/>
  <c r="F12" i="35"/>
  <c r="C12" i="35"/>
  <c r="H23" i="34"/>
  <c r="I23" i="34"/>
  <c r="J23" i="34"/>
  <c r="K23" i="34"/>
  <c r="L23" i="34"/>
  <c r="M23" i="34"/>
  <c r="N23" i="34"/>
  <c r="C12" i="34"/>
  <c r="R19" i="34"/>
  <c r="H19" i="34"/>
  <c r="I19" i="34"/>
  <c r="D6" i="34"/>
  <c r="E6" i="34"/>
  <c r="F6" i="34"/>
  <c r="G6" i="34"/>
  <c r="H6" i="34"/>
  <c r="I6" i="34"/>
  <c r="J6" i="34"/>
  <c r="K6" i="34"/>
  <c r="L6" i="34"/>
  <c r="M6" i="34"/>
  <c r="N6" i="34"/>
  <c r="C6" i="34"/>
  <c r="O6" i="34" s="1"/>
  <c r="D7" i="34"/>
  <c r="E7" i="34"/>
  <c r="F7" i="34"/>
  <c r="G7" i="34"/>
  <c r="H7" i="34"/>
  <c r="I7" i="34"/>
  <c r="J7" i="34"/>
  <c r="K7" i="34"/>
  <c r="L7" i="34"/>
  <c r="M7" i="34"/>
  <c r="N7" i="34"/>
  <c r="C7" i="34"/>
  <c r="O8" i="34"/>
  <c r="O9" i="34"/>
  <c r="O10" i="34"/>
  <c r="O11" i="34"/>
  <c r="O13" i="34"/>
  <c r="O14" i="34"/>
  <c r="O15" i="34"/>
  <c r="O16" i="34"/>
  <c r="O17" i="34"/>
  <c r="O18" i="34"/>
  <c r="O19" i="34"/>
  <c r="O20" i="34"/>
  <c r="O21" i="34"/>
  <c r="O22" i="34"/>
  <c r="O7" i="34" l="1"/>
  <c r="E46" i="19"/>
  <c r="Z15" i="39" l="1"/>
  <c r="Y15" i="39"/>
  <c r="Y29" i="39"/>
  <c r="I37" i="13" l="1"/>
  <c r="I36" i="13"/>
  <c r="I39" i="13" s="1"/>
  <c r="E18" i="13" l="1"/>
  <c r="I16" i="13"/>
  <c r="I15" i="13"/>
  <c r="I28" i="13" l="1"/>
  <c r="I14" i="13"/>
  <c r="AG13" i="7" l="1"/>
  <c r="C27" i="13" l="1"/>
  <c r="I35" i="13"/>
  <c r="AC46" i="39"/>
  <c r="AB46" i="39"/>
  <c r="AD45" i="39"/>
  <c r="AD44" i="39"/>
  <c r="AD43" i="39"/>
  <c r="AD42" i="39"/>
  <c r="AD41" i="39"/>
  <c r="AD39" i="39"/>
  <c r="AD38" i="39"/>
  <c r="AD37" i="39"/>
  <c r="AC36" i="39"/>
  <c r="AB36" i="39"/>
  <c r="AD35" i="39"/>
  <c r="AD34" i="39"/>
  <c r="AD33" i="39"/>
  <c r="AD32" i="39"/>
  <c r="AD31" i="39"/>
  <c r="AD30" i="39"/>
  <c r="AC29" i="39"/>
  <c r="AB29" i="39"/>
  <c r="AB40" i="39" s="1"/>
  <c r="AB47" i="39" s="1"/>
  <c r="AC23" i="39"/>
  <c r="AB23" i="39"/>
  <c r="AB24" i="39" s="1"/>
  <c r="AD22" i="39"/>
  <c r="AD21" i="39"/>
  <c r="AD20" i="39"/>
  <c r="AD19" i="39"/>
  <c r="AD18" i="39"/>
  <c r="AD17" i="39"/>
  <c r="AD16" i="39"/>
  <c r="AD15" i="39"/>
  <c r="AD14" i="39"/>
  <c r="AD13" i="39"/>
  <c r="AD12" i="39"/>
  <c r="AD11" i="39"/>
  <c r="AD10" i="39"/>
  <c r="AD9" i="39"/>
  <c r="AD8" i="39"/>
  <c r="AD7" i="39"/>
  <c r="AD36" i="39" l="1"/>
  <c r="AB48" i="39"/>
  <c r="AD46" i="39"/>
  <c r="AD23" i="39"/>
  <c r="AD29" i="39"/>
  <c r="AC24" i="39"/>
  <c r="AC40" i="39"/>
  <c r="AC47" i="39" s="1"/>
  <c r="AD47" i="39" s="1"/>
  <c r="AD24" i="39" l="1"/>
  <c r="AD48" i="39" s="1"/>
  <c r="AC48" i="39"/>
  <c r="AD40" i="39"/>
  <c r="H30" i="39" l="1"/>
  <c r="H31" i="39"/>
  <c r="H32" i="39"/>
  <c r="H33" i="39"/>
  <c r="H34" i="39"/>
  <c r="H35" i="39"/>
  <c r="H36" i="39"/>
  <c r="H37" i="39"/>
  <c r="H38" i="39"/>
  <c r="H39" i="39"/>
  <c r="H41" i="39"/>
  <c r="H42" i="39"/>
  <c r="H43" i="39"/>
  <c r="H44" i="39"/>
  <c r="H45" i="39"/>
  <c r="H9" i="39"/>
  <c r="H10" i="39"/>
  <c r="H11" i="39"/>
  <c r="H12" i="39"/>
  <c r="H13" i="39"/>
  <c r="H14" i="39"/>
  <c r="H16" i="39"/>
  <c r="H17" i="39"/>
  <c r="H18" i="39"/>
  <c r="H20" i="39"/>
  <c r="H21" i="39"/>
  <c r="H22" i="39"/>
  <c r="H8" i="39"/>
  <c r="H7" i="39"/>
  <c r="C36" i="39" l="1"/>
  <c r="D13" i="15"/>
  <c r="S6" i="34"/>
  <c r="S7" i="34"/>
  <c r="S8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S34" i="34"/>
  <c r="S35" i="34"/>
  <c r="S36" i="34"/>
  <c r="S5" i="34"/>
  <c r="D14" i="35"/>
  <c r="E14" i="35"/>
  <c r="F14" i="35"/>
  <c r="G14" i="35"/>
  <c r="H14" i="35"/>
  <c r="I14" i="35"/>
  <c r="J14" i="35"/>
  <c r="K14" i="35"/>
  <c r="L14" i="35"/>
  <c r="M14" i="35"/>
  <c r="I34" i="13" l="1"/>
  <c r="I33" i="13"/>
  <c r="I32" i="13"/>
  <c r="I31" i="13"/>
  <c r="I30" i="13"/>
  <c r="I29" i="13"/>
  <c r="I27" i="13"/>
  <c r="C7" i="19" l="1"/>
  <c r="CI41" i="7" l="1"/>
  <c r="CG41" i="7"/>
  <c r="CE41" i="7"/>
  <c r="CI40" i="7"/>
  <c r="CG40" i="7"/>
  <c r="CE40" i="7"/>
  <c r="CI39" i="7"/>
  <c r="CG39" i="7"/>
  <c r="CE39" i="7"/>
  <c r="CI38" i="7"/>
  <c r="CG38" i="7"/>
  <c r="CE38" i="7"/>
  <c r="CI37" i="7"/>
  <c r="CG37" i="7"/>
  <c r="CE37" i="7"/>
  <c r="CI35" i="7"/>
  <c r="CG35" i="7"/>
  <c r="CE35" i="7"/>
  <c r="CI34" i="7"/>
  <c r="G54" i="19" s="1"/>
  <c r="AI6" i="17" s="1"/>
  <c r="CG34" i="7"/>
  <c r="E54" i="19" s="1"/>
  <c r="AG6" i="17" s="1"/>
  <c r="CE34" i="7"/>
  <c r="C54" i="19" s="1"/>
  <c r="AE6" i="17" s="1"/>
  <c r="AK6" i="17" s="1"/>
  <c r="CI33" i="7"/>
  <c r="G53" i="19" s="1"/>
  <c r="AI5" i="17" s="1"/>
  <c r="AI16" i="17" s="1"/>
  <c r="AI29" i="17" s="1"/>
  <c r="AI31" i="17" s="1"/>
  <c r="CG33" i="7"/>
  <c r="E53" i="19" s="1"/>
  <c r="AG5" i="17" s="1"/>
  <c r="AG16" i="17" s="1"/>
  <c r="AG29" i="17" s="1"/>
  <c r="AG31" i="17" s="1"/>
  <c r="CE33" i="7"/>
  <c r="C53" i="19" s="1"/>
  <c r="AE5" i="17" s="1"/>
  <c r="CI31" i="7"/>
  <c r="CG31" i="7"/>
  <c r="CE31" i="7"/>
  <c r="CI30" i="7"/>
  <c r="CG30" i="7"/>
  <c r="CE30" i="7"/>
  <c r="CI29" i="7"/>
  <c r="CG29" i="7"/>
  <c r="CE29" i="7"/>
  <c r="CI28" i="7"/>
  <c r="G44" i="19" s="1"/>
  <c r="P7" i="17" s="1"/>
  <c r="CG28" i="7"/>
  <c r="E44" i="19" s="1"/>
  <c r="N7" i="17" s="1"/>
  <c r="CE28" i="7"/>
  <c r="C44" i="19" s="1"/>
  <c r="L7" i="17" s="1"/>
  <c r="CI27" i="7"/>
  <c r="G43" i="19" s="1"/>
  <c r="P6" i="17" s="1"/>
  <c r="CG27" i="7"/>
  <c r="E43" i="19" s="1"/>
  <c r="N6" i="17" s="1"/>
  <c r="CE27" i="7"/>
  <c r="C43" i="19" s="1"/>
  <c r="L6" i="17" s="1"/>
  <c r="CI26" i="7"/>
  <c r="G42" i="19" s="1"/>
  <c r="P5" i="17" s="1"/>
  <c r="P16" i="17" s="1"/>
  <c r="P29" i="17" s="1"/>
  <c r="P31" i="17" s="1"/>
  <c r="CG26" i="7"/>
  <c r="E42" i="19" s="1"/>
  <c r="N5" i="17" s="1"/>
  <c r="CE26" i="7"/>
  <c r="C42" i="19" s="1"/>
  <c r="CE6" i="7"/>
  <c r="C6" i="19" s="1"/>
  <c r="C6" i="17" s="1"/>
  <c r="CG6" i="7"/>
  <c r="E6" i="19" s="1"/>
  <c r="E6" i="17" s="1"/>
  <c r="CI6" i="7"/>
  <c r="G6" i="19" s="1"/>
  <c r="G6" i="17" s="1"/>
  <c r="CE7" i="7"/>
  <c r="C11" i="19" s="1"/>
  <c r="V5" i="17" s="1"/>
  <c r="CG7" i="7"/>
  <c r="E11" i="19" s="1"/>
  <c r="X5" i="17" s="1"/>
  <c r="CI7" i="7"/>
  <c r="G11" i="19" s="1"/>
  <c r="Z5" i="17" s="1"/>
  <c r="Z16" i="17" s="1"/>
  <c r="Z29" i="17" s="1"/>
  <c r="Z31" i="17" s="1"/>
  <c r="CE8" i="7"/>
  <c r="C12" i="19" s="1"/>
  <c r="C7" i="17" s="1"/>
  <c r="CG8" i="7"/>
  <c r="E12" i="19" s="1"/>
  <c r="E7" i="17" s="1"/>
  <c r="CI8" i="7"/>
  <c r="G12" i="19" s="1"/>
  <c r="G7" i="17" s="1"/>
  <c r="CE9" i="7"/>
  <c r="C19" i="19" s="1"/>
  <c r="C9" i="17" s="1"/>
  <c r="CG9" i="7"/>
  <c r="E19" i="19" s="1"/>
  <c r="E9" i="17" s="1"/>
  <c r="CI9" i="7"/>
  <c r="G19" i="19" s="1"/>
  <c r="G9" i="17" s="1"/>
  <c r="CE10" i="7"/>
  <c r="CG10" i="7"/>
  <c r="CI10" i="7"/>
  <c r="CE11" i="7"/>
  <c r="CG11" i="7"/>
  <c r="CI11" i="7"/>
  <c r="CE12" i="7"/>
  <c r="C20" i="19" s="1"/>
  <c r="V6" i="17" s="1"/>
  <c r="CG12" i="7"/>
  <c r="E20" i="19" s="1"/>
  <c r="X6" i="17" s="1"/>
  <c r="CI12" i="7"/>
  <c r="G20" i="19" s="1"/>
  <c r="Z6" i="17" s="1"/>
  <c r="CE14" i="7"/>
  <c r="CG14" i="7"/>
  <c r="CI14" i="7"/>
  <c r="CE15" i="7"/>
  <c r="CG15" i="7"/>
  <c r="CI15" i="7"/>
  <c r="CE16" i="7"/>
  <c r="CG16" i="7"/>
  <c r="CI16" i="7"/>
  <c r="CE17" i="7"/>
  <c r="CG17" i="7"/>
  <c r="CI17" i="7"/>
  <c r="CE18" i="7"/>
  <c r="CG18" i="7"/>
  <c r="CI18" i="7"/>
  <c r="CE19" i="7"/>
  <c r="CG19" i="7"/>
  <c r="CI19" i="7"/>
  <c r="CE20" i="7"/>
  <c r="CG20" i="7"/>
  <c r="CI20" i="7"/>
  <c r="CG5" i="7"/>
  <c r="E5" i="19" s="1"/>
  <c r="E5" i="17" s="1"/>
  <c r="E16" i="17" s="1"/>
  <c r="E29" i="17" s="1"/>
  <c r="E31" i="17" s="1"/>
  <c r="CI5" i="7"/>
  <c r="G5" i="19" s="1"/>
  <c r="G5" i="17" s="1"/>
  <c r="G16" i="17" s="1"/>
  <c r="G29" i="17" s="1"/>
  <c r="G31" i="17" s="1"/>
  <c r="CE5" i="7"/>
  <c r="C5" i="19" s="1"/>
  <c r="C5" i="17" s="1"/>
  <c r="BY42" i="7"/>
  <c r="BW42" i="7"/>
  <c r="BU42" i="7"/>
  <c r="CA41" i="7"/>
  <c r="CA40" i="7"/>
  <c r="CA39" i="7"/>
  <c r="CA38" i="7"/>
  <c r="CA37" i="7"/>
  <c r="CA35" i="7"/>
  <c r="CA34" i="7"/>
  <c r="CA33" i="7"/>
  <c r="BY32" i="7"/>
  <c r="BW32" i="7"/>
  <c r="BU32" i="7"/>
  <c r="CA32" i="7" s="1"/>
  <c r="CA31" i="7"/>
  <c r="CA30" i="7"/>
  <c r="CA29" i="7"/>
  <c r="CA28" i="7"/>
  <c r="CA27" i="7"/>
  <c r="CA26" i="7"/>
  <c r="BY25" i="7"/>
  <c r="BY36" i="7" s="1"/>
  <c r="BY43" i="7" s="1"/>
  <c r="BW25" i="7"/>
  <c r="BW36" i="7" s="1"/>
  <c r="BW43" i="7" s="1"/>
  <c r="BU36" i="7"/>
  <c r="CA36" i="7" s="1"/>
  <c r="BY21" i="7"/>
  <c r="BW21" i="7"/>
  <c r="BU21" i="7"/>
  <c r="CA20" i="7"/>
  <c r="CA19" i="7"/>
  <c r="CA18" i="7"/>
  <c r="CA17" i="7"/>
  <c r="CA16" i="7"/>
  <c r="CA15" i="7"/>
  <c r="CA14" i="7"/>
  <c r="BY13" i="7"/>
  <c r="BY22" i="7" s="1"/>
  <c r="BW13" i="7"/>
  <c r="BW22" i="7" s="1"/>
  <c r="BU13" i="7"/>
  <c r="CA12" i="7"/>
  <c r="CA11" i="7"/>
  <c r="CA10" i="7"/>
  <c r="CA9" i="7"/>
  <c r="CA8" i="7"/>
  <c r="CA7" i="7"/>
  <c r="CA6" i="7"/>
  <c r="CA5" i="7"/>
  <c r="X16" i="17" l="1"/>
  <c r="X29" i="17" s="1"/>
  <c r="X31" i="17" s="1"/>
  <c r="I7" i="17"/>
  <c r="AE16" i="17"/>
  <c r="AE29" i="17" s="1"/>
  <c r="AE31" i="17" s="1"/>
  <c r="AK5" i="17"/>
  <c r="AK16" i="17" s="1"/>
  <c r="AK29" i="17" s="1"/>
  <c r="AK31" i="17" s="1"/>
  <c r="AB5" i="17"/>
  <c r="V16" i="17"/>
  <c r="V29" i="17" s="1"/>
  <c r="I5" i="17"/>
  <c r="C16" i="17"/>
  <c r="C29" i="17" s="1"/>
  <c r="C31" i="17" s="1"/>
  <c r="C41" i="19"/>
  <c r="L5" i="17"/>
  <c r="N16" i="17"/>
  <c r="N29" i="17" s="1"/>
  <c r="N31" i="17" s="1"/>
  <c r="CA13" i="7"/>
  <c r="CA42" i="7"/>
  <c r="CA21" i="7"/>
  <c r="BU22" i="7"/>
  <c r="CA22" i="7" s="1"/>
  <c r="CA25" i="7"/>
  <c r="BU43" i="7"/>
  <c r="CA43" i="7" s="1"/>
  <c r="R5" i="17" l="1"/>
  <c r="L16" i="17"/>
  <c r="L29" i="17" s="1"/>
  <c r="L31" i="17" s="1"/>
  <c r="V31" i="17"/>
  <c r="AB29" i="17"/>
  <c r="AB31" i="17" s="1"/>
  <c r="AK33" i="17" s="1"/>
  <c r="I13" i="13"/>
  <c r="C14" i="35" l="1"/>
  <c r="P23" i="35"/>
  <c r="P25" i="35"/>
  <c r="P28" i="35"/>
  <c r="P29" i="35"/>
  <c r="P30" i="35"/>
  <c r="C52" i="19" l="1"/>
  <c r="AA30" i="39" l="1"/>
  <c r="AA31" i="39"/>
  <c r="AA33" i="39"/>
  <c r="AA34" i="39"/>
  <c r="AA35" i="39"/>
  <c r="AA37" i="39"/>
  <c r="AA38" i="39"/>
  <c r="AA39" i="39"/>
  <c r="AA41" i="39"/>
  <c r="AA42" i="39"/>
  <c r="AA43" i="39"/>
  <c r="AA44" i="39"/>
  <c r="AA45" i="39"/>
  <c r="AA8" i="39"/>
  <c r="AA9" i="39"/>
  <c r="AA10" i="39"/>
  <c r="AA11" i="39"/>
  <c r="AA12" i="39"/>
  <c r="AA13" i="39"/>
  <c r="AA14" i="39"/>
  <c r="AA16" i="39"/>
  <c r="AA17" i="39"/>
  <c r="AA18" i="39"/>
  <c r="AA19" i="39"/>
  <c r="AA20" i="39"/>
  <c r="AA21" i="39"/>
  <c r="AA22" i="39"/>
  <c r="AA7" i="39"/>
  <c r="X30" i="39"/>
  <c r="X31" i="39"/>
  <c r="X32" i="39"/>
  <c r="X33" i="39"/>
  <c r="X34" i="39"/>
  <c r="X35" i="39"/>
  <c r="X36" i="39"/>
  <c r="X37" i="39"/>
  <c r="X38" i="39"/>
  <c r="X39" i="39"/>
  <c r="X41" i="39"/>
  <c r="X42" i="39"/>
  <c r="X43" i="39"/>
  <c r="X44" i="39"/>
  <c r="X45" i="39"/>
  <c r="AA32" i="39"/>
  <c r="O11" i="39" l="1"/>
  <c r="O15" i="39" s="1"/>
  <c r="Q15" i="39"/>
  <c r="N30" i="39" l="1"/>
  <c r="N31" i="39"/>
  <c r="N32" i="39"/>
  <c r="N33" i="39"/>
  <c r="N34" i="39"/>
  <c r="N35" i="39"/>
  <c r="N37" i="39"/>
  <c r="N38" i="39"/>
  <c r="N39" i="39"/>
  <c r="N41" i="39"/>
  <c r="N42" i="39"/>
  <c r="N43" i="39"/>
  <c r="N44" i="39"/>
  <c r="N45" i="39"/>
  <c r="N8" i="3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7" i="39"/>
  <c r="K30" i="39" l="1"/>
  <c r="K31" i="39"/>
  <c r="K32" i="39"/>
  <c r="K33" i="39"/>
  <c r="K34" i="39"/>
  <c r="K35" i="39"/>
  <c r="K37" i="39"/>
  <c r="K38" i="39"/>
  <c r="K39" i="39"/>
  <c r="K41" i="39"/>
  <c r="K42" i="39"/>
  <c r="K43" i="39"/>
  <c r="K44" i="39"/>
  <c r="K45" i="39"/>
  <c r="K8" i="39"/>
  <c r="K9" i="39"/>
  <c r="K10" i="39"/>
  <c r="K11" i="39"/>
  <c r="K12" i="39"/>
  <c r="K13" i="39"/>
  <c r="K14" i="39"/>
  <c r="K16" i="39"/>
  <c r="K17" i="39"/>
  <c r="K18" i="39"/>
  <c r="K19" i="39"/>
  <c r="K20" i="39"/>
  <c r="K21" i="39"/>
  <c r="K22" i="39"/>
  <c r="K7" i="39"/>
  <c r="D15" i="39"/>
  <c r="D24" i="39" s="1"/>
  <c r="D40" i="39"/>
  <c r="D47" i="39" s="1"/>
  <c r="X8" i="39" l="1"/>
  <c r="X9" i="39"/>
  <c r="X10" i="39"/>
  <c r="X11" i="39"/>
  <c r="X12" i="39"/>
  <c r="X13" i="39"/>
  <c r="X14" i="39"/>
  <c r="X16" i="39"/>
  <c r="X17" i="39"/>
  <c r="X18" i="39"/>
  <c r="X19" i="39"/>
  <c r="X20" i="39"/>
  <c r="X21" i="39"/>
  <c r="X22" i="39"/>
  <c r="X7" i="39"/>
  <c r="C46" i="39" l="1"/>
  <c r="C29" i="39"/>
  <c r="F29" i="39" s="1"/>
  <c r="C23" i="39"/>
  <c r="F23" i="39" s="1"/>
  <c r="C15" i="39"/>
  <c r="F15" i="39" s="1"/>
  <c r="Z46" i="39"/>
  <c r="Y46" i="39"/>
  <c r="W46" i="39"/>
  <c r="X46" i="39" s="1"/>
  <c r="U46" i="39"/>
  <c r="T46" i="39"/>
  <c r="S46" i="39"/>
  <c r="Q46" i="39"/>
  <c r="P46" i="39"/>
  <c r="O46" i="39"/>
  <c r="M46" i="39"/>
  <c r="L46" i="39"/>
  <c r="J46" i="39"/>
  <c r="I46" i="39"/>
  <c r="G46" i="39"/>
  <c r="H46" i="39" s="1"/>
  <c r="V45" i="39"/>
  <c r="R45" i="39"/>
  <c r="V44" i="39"/>
  <c r="R44" i="39"/>
  <c r="V43" i="39"/>
  <c r="R43" i="39"/>
  <c r="V42" i="39"/>
  <c r="R42" i="39"/>
  <c r="V41" i="39"/>
  <c r="R41" i="39"/>
  <c r="V39" i="39"/>
  <c r="R39" i="39"/>
  <c r="V38" i="39"/>
  <c r="R38" i="39"/>
  <c r="V37" i="39"/>
  <c r="R37" i="39"/>
  <c r="Z36" i="39"/>
  <c r="Y36" i="39"/>
  <c r="T36" i="39"/>
  <c r="S36" i="39"/>
  <c r="Q36" i="39"/>
  <c r="P36" i="39"/>
  <c r="O36" i="39"/>
  <c r="M36" i="39"/>
  <c r="N36" i="39" s="1"/>
  <c r="J36" i="39"/>
  <c r="K36" i="39" s="1"/>
  <c r="V35" i="39"/>
  <c r="R35" i="39"/>
  <c r="V34" i="39"/>
  <c r="R34" i="39"/>
  <c r="V33" i="39"/>
  <c r="R33" i="39"/>
  <c r="V32" i="39"/>
  <c r="R32" i="39"/>
  <c r="V31" i="39"/>
  <c r="R31" i="39"/>
  <c r="V30" i="39"/>
  <c r="R30" i="39"/>
  <c r="Z29" i="39"/>
  <c r="W29" i="39"/>
  <c r="U29" i="39"/>
  <c r="U40" i="39" s="1"/>
  <c r="T29" i="39"/>
  <c r="S29" i="39"/>
  <c r="Q29" i="39"/>
  <c r="P29" i="39"/>
  <c r="O29" i="39"/>
  <c r="M29" i="39"/>
  <c r="L29" i="39"/>
  <c r="L40" i="39" s="1"/>
  <c r="J29" i="39"/>
  <c r="I29" i="39"/>
  <c r="I40" i="39" s="1"/>
  <c r="G29" i="39"/>
  <c r="H29" i="39" s="1"/>
  <c r="Z23" i="39"/>
  <c r="Y23" i="39"/>
  <c r="W23" i="39"/>
  <c r="X23" i="39" s="1"/>
  <c r="U23" i="39"/>
  <c r="T23" i="39"/>
  <c r="S23" i="39"/>
  <c r="Q23" i="39"/>
  <c r="Q24" i="39" s="1"/>
  <c r="P23" i="39"/>
  <c r="O23" i="39"/>
  <c r="M23" i="39"/>
  <c r="L23" i="39"/>
  <c r="J23" i="39"/>
  <c r="I23" i="39"/>
  <c r="V22" i="39"/>
  <c r="R22" i="39"/>
  <c r="V21" i="39"/>
  <c r="R21" i="39"/>
  <c r="V20" i="39"/>
  <c r="R20" i="39"/>
  <c r="V19" i="39"/>
  <c r="R19" i="39"/>
  <c r="V18" i="39"/>
  <c r="R18" i="39"/>
  <c r="V17" i="39"/>
  <c r="R17" i="39"/>
  <c r="V16" i="39"/>
  <c r="R16" i="39"/>
  <c r="AA15" i="39"/>
  <c r="W15" i="39"/>
  <c r="X15" i="39" s="1"/>
  <c r="U15" i="39"/>
  <c r="T15" i="39"/>
  <c r="P15" i="39"/>
  <c r="M15" i="39"/>
  <c r="L15" i="39"/>
  <c r="I15" i="39"/>
  <c r="G15" i="39"/>
  <c r="V14" i="39"/>
  <c r="R14" i="39"/>
  <c r="V13" i="39"/>
  <c r="R13" i="39"/>
  <c r="V12" i="39"/>
  <c r="R12" i="39"/>
  <c r="V11" i="39"/>
  <c r="R11" i="39"/>
  <c r="V10" i="39"/>
  <c r="R10" i="39"/>
  <c r="V9" i="39"/>
  <c r="R9" i="39"/>
  <c r="V8" i="39"/>
  <c r="R8" i="39"/>
  <c r="V7" i="39"/>
  <c r="R7" i="39"/>
  <c r="AA36" i="39" l="1"/>
  <c r="U47" i="39"/>
  <c r="H15" i="39"/>
  <c r="AA23" i="39"/>
  <c r="AA29" i="39"/>
  <c r="AA46" i="39"/>
  <c r="N23" i="39"/>
  <c r="K46" i="39"/>
  <c r="W40" i="39"/>
  <c r="X40" i="39" s="1"/>
  <c r="X29" i="39"/>
  <c r="K15" i="39"/>
  <c r="K23" i="39"/>
  <c r="N46" i="39"/>
  <c r="N29" i="39"/>
  <c r="N15" i="39"/>
  <c r="K29" i="39"/>
  <c r="P40" i="39"/>
  <c r="P47" i="39" s="1"/>
  <c r="Y40" i="39"/>
  <c r="M24" i="39"/>
  <c r="Z24" i="39"/>
  <c r="J24" i="39"/>
  <c r="V15" i="39"/>
  <c r="G40" i="39"/>
  <c r="H40" i="39" s="1"/>
  <c r="S40" i="39"/>
  <c r="S47" i="39" s="1"/>
  <c r="C24" i="39"/>
  <c r="F24" i="39" s="1"/>
  <c r="Z40" i="39"/>
  <c r="Z47" i="39" s="1"/>
  <c r="R15" i="39"/>
  <c r="U24" i="39"/>
  <c r="U48" i="39" s="1"/>
  <c r="V23" i="39"/>
  <c r="P24" i="39"/>
  <c r="R23" i="39"/>
  <c r="R36" i="39"/>
  <c r="V36" i="39"/>
  <c r="M40" i="39"/>
  <c r="Q40" i="39"/>
  <c r="Q47" i="39" s="1"/>
  <c r="Q48" i="39" s="1"/>
  <c r="V46" i="39"/>
  <c r="J40" i="39"/>
  <c r="R46" i="39"/>
  <c r="O40" i="39"/>
  <c r="T40" i="39"/>
  <c r="T47" i="39" s="1"/>
  <c r="C40" i="39"/>
  <c r="F40" i="39" s="1"/>
  <c r="L47" i="39"/>
  <c r="I47" i="39"/>
  <c r="I24" i="39"/>
  <c r="L24" i="39"/>
  <c r="O24" i="39"/>
  <c r="S24" i="39"/>
  <c r="W24" i="39"/>
  <c r="X24" i="39" s="1"/>
  <c r="Y24" i="39"/>
  <c r="T24" i="39"/>
  <c r="R29" i="39"/>
  <c r="V29" i="39"/>
  <c r="D31" i="34"/>
  <c r="E31" i="34"/>
  <c r="F31" i="34"/>
  <c r="G31" i="34"/>
  <c r="H31" i="34"/>
  <c r="I31" i="34"/>
  <c r="J31" i="34"/>
  <c r="K31" i="34"/>
  <c r="L31" i="34"/>
  <c r="M31" i="34"/>
  <c r="N31" i="34"/>
  <c r="O27" i="34"/>
  <c r="I18" i="19"/>
  <c r="E12" i="34"/>
  <c r="E23" i="34" s="1"/>
  <c r="F12" i="34"/>
  <c r="F23" i="34" s="1"/>
  <c r="G12" i="34"/>
  <c r="G23" i="34" s="1"/>
  <c r="H12" i="34"/>
  <c r="I12" i="34"/>
  <c r="J12" i="34"/>
  <c r="K12" i="34"/>
  <c r="L12" i="34"/>
  <c r="M12" i="34"/>
  <c r="N12" i="34"/>
  <c r="D12" i="34"/>
  <c r="D23" i="34" s="1"/>
  <c r="O12" i="34" l="1"/>
  <c r="Z48" i="39"/>
  <c r="I48" i="39"/>
  <c r="L48" i="39"/>
  <c r="H19" i="39"/>
  <c r="G23" i="39"/>
  <c r="P48" i="39"/>
  <c r="T48" i="39"/>
  <c r="S48" i="39"/>
  <c r="W47" i="39"/>
  <c r="X47" i="39" s="1"/>
  <c r="X48" i="39" s="1"/>
  <c r="AA24" i="39"/>
  <c r="Y47" i="39"/>
  <c r="AA47" i="39" s="1"/>
  <c r="AA40" i="39"/>
  <c r="K24" i="39"/>
  <c r="G47" i="39"/>
  <c r="H47" i="39" s="1"/>
  <c r="M47" i="39"/>
  <c r="N47" i="39" s="1"/>
  <c r="N40" i="39"/>
  <c r="N24" i="39"/>
  <c r="J47" i="39"/>
  <c r="K47" i="39" s="1"/>
  <c r="K40" i="39"/>
  <c r="R24" i="39"/>
  <c r="V40" i="39"/>
  <c r="R40" i="39"/>
  <c r="V24" i="39"/>
  <c r="V47" i="39"/>
  <c r="O47" i="39"/>
  <c r="R47" i="39" s="1"/>
  <c r="C47" i="39"/>
  <c r="Y48" i="39" l="1"/>
  <c r="M48" i="39"/>
  <c r="J48" i="39"/>
  <c r="H23" i="39"/>
  <c r="G24" i="39"/>
  <c r="H24" i="39" s="1"/>
  <c r="H48" i="39" s="1"/>
  <c r="F48" i="39"/>
  <c r="K48" i="39"/>
  <c r="O48" i="39"/>
  <c r="AA48" i="39"/>
  <c r="V48" i="39"/>
  <c r="R48" i="39"/>
  <c r="N48" i="39"/>
  <c r="G18" i="13" l="1"/>
  <c r="I12" i="13"/>
  <c r="C18" i="13"/>
  <c r="D5" i="35" l="1"/>
  <c r="E5" i="35"/>
  <c r="E18" i="35" s="1"/>
  <c r="F5" i="35"/>
  <c r="F18" i="35" s="1"/>
  <c r="F25" i="35" s="1"/>
  <c r="G5" i="35"/>
  <c r="G18" i="35" s="1"/>
  <c r="G25" i="35" s="1"/>
  <c r="H5" i="35"/>
  <c r="H18" i="35" s="1"/>
  <c r="H25" i="35" s="1"/>
  <c r="I5" i="35"/>
  <c r="I18" i="35" s="1"/>
  <c r="J5" i="35"/>
  <c r="J18" i="35" s="1"/>
  <c r="K5" i="35"/>
  <c r="K18" i="35" s="1"/>
  <c r="L5" i="35"/>
  <c r="L18" i="35" s="1"/>
  <c r="M5" i="35"/>
  <c r="M18" i="35" s="1"/>
  <c r="N5" i="35"/>
  <c r="N18" i="35" s="1"/>
  <c r="C5" i="35"/>
  <c r="E23" i="19" l="1"/>
  <c r="N12" i="11"/>
  <c r="M12" i="11"/>
  <c r="O6" i="11"/>
  <c r="O12" i="11" s="1"/>
  <c r="I9" i="7" l="1"/>
  <c r="I10" i="13" l="1"/>
  <c r="I8" i="19" l="1"/>
  <c r="I9" i="19"/>
  <c r="S8" i="13" l="1"/>
  <c r="S11" i="13" l="1"/>
  <c r="O30" i="34"/>
  <c r="O29" i="34"/>
  <c r="O28" i="34"/>
  <c r="O26" i="34"/>
  <c r="O25" i="34"/>
  <c r="O24" i="34"/>
  <c r="O5" i="34"/>
  <c r="I7" i="13"/>
  <c r="I11" i="13"/>
  <c r="I8" i="13"/>
  <c r="I66" i="19"/>
  <c r="I18" i="13" l="1"/>
  <c r="AA42" i="7" l="1"/>
  <c r="Y42" i="7"/>
  <c r="W42" i="7"/>
  <c r="AC41" i="7"/>
  <c r="AC40" i="7"/>
  <c r="AC39" i="7"/>
  <c r="AC38" i="7"/>
  <c r="AC37" i="7"/>
  <c r="AC35" i="7"/>
  <c r="AC34" i="7"/>
  <c r="AC33" i="7"/>
  <c r="AA32" i="7"/>
  <c r="Y32" i="7"/>
  <c r="AC31" i="7"/>
  <c r="AC30" i="7"/>
  <c r="AC29" i="7"/>
  <c r="AC28" i="7"/>
  <c r="AC27" i="7"/>
  <c r="AC26" i="7"/>
  <c r="AA25" i="7"/>
  <c r="AA36" i="7" s="1"/>
  <c r="Y25" i="7"/>
  <c r="Y36" i="7" s="1"/>
  <c r="Y43" i="7" s="1"/>
  <c r="W25" i="7"/>
  <c r="W36" i="7" s="1"/>
  <c r="AA21" i="7"/>
  <c r="Y21" i="7"/>
  <c r="W21" i="7"/>
  <c r="AC20" i="7"/>
  <c r="AC19" i="7"/>
  <c r="AC18" i="7"/>
  <c r="AC17" i="7"/>
  <c r="AC16" i="7"/>
  <c r="AC15" i="7"/>
  <c r="AC14" i="7"/>
  <c r="AA13" i="7"/>
  <c r="Y13" i="7"/>
  <c r="W13" i="7"/>
  <c r="AC12" i="7"/>
  <c r="AC11" i="7"/>
  <c r="AC10" i="7"/>
  <c r="AC9" i="7"/>
  <c r="AC8" i="7"/>
  <c r="AC7" i="7"/>
  <c r="AC6" i="7"/>
  <c r="AC5" i="7"/>
  <c r="AA22" i="7" l="1"/>
  <c r="Y22" i="7"/>
  <c r="AA43" i="7"/>
  <c r="W22" i="7"/>
  <c r="AC22" i="7" s="1"/>
  <c r="AC21" i="7"/>
  <c r="AC32" i="7"/>
  <c r="AC42" i="7"/>
  <c r="W43" i="7"/>
  <c r="AC43" i="7" s="1"/>
  <c r="AC36" i="7"/>
  <c r="AC25" i="7"/>
  <c r="AC13" i="7"/>
  <c r="O6" i="35"/>
  <c r="O7" i="35"/>
  <c r="O8" i="35"/>
  <c r="O9" i="35"/>
  <c r="O11" i="35"/>
  <c r="O12" i="35"/>
  <c r="O13" i="35"/>
  <c r="O15" i="35"/>
  <c r="O16" i="35"/>
  <c r="O17" i="35"/>
  <c r="O19" i="35"/>
  <c r="O20" i="35"/>
  <c r="O21" i="35"/>
  <c r="O22" i="35"/>
  <c r="O23" i="35"/>
  <c r="F32" i="34"/>
  <c r="J32" i="34"/>
  <c r="K32" i="34"/>
  <c r="N32" i="34"/>
  <c r="G32" i="34"/>
  <c r="H32" i="34"/>
  <c r="I32" i="34"/>
  <c r="L32" i="34"/>
  <c r="M32" i="34"/>
  <c r="AB24" i="17"/>
  <c r="AB25" i="17"/>
  <c r="AB26" i="17"/>
  <c r="AB27" i="17"/>
  <c r="AB6" i="17"/>
  <c r="AB16" i="17" s="1"/>
  <c r="AB7" i="17"/>
  <c r="AB8" i="17"/>
  <c r="R6" i="17"/>
  <c r="R7" i="17"/>
  <c r="R8" i="17"/>
  <c r="R9" i="17"/>
  <c r="I24" i="17"/>
  <c r="I25" i="17"/>
  <c r="I22" i="17" s="1"/>
  <c r="I19" i="17"/>
  <c r="I20" i="17"/>
  <c r="I21" i="17"/>
  <c r="I6" i="17"/>
  <c r="I8" i="17"/>
  <c r="I9" i="17"/>
  <c r="E24" i="35"/>
  <c r="F24" i="35"/>
  <c r="G24" i="35"/>
  <c r="H24" i="35"/>
  <c r="I24" i="35"/>
  <c r="I25" i="35" s="1"/>
  <c r="J24" i="35"/>
  <c r="J25" i="35" s="1"/>
  <c r="K24" i="35"/>
  <c r="K25" i="35" s="1"/>
  <c r="L24" i="35"/>
  <c r="L25" i="35" s="1"/>
  <c r="M24" i="35"/>
  <c r="M25" i="35" s="1"/>
  <c r="N24" i="35"/>
  <c r="N25" i="35" s="1"/>
  <c r="D24" i="35"/>
  <c r="C24" i="35"/>
  <c r="D18" i="35"/>
  <c r="C31" i="34"/>
  <c r="D32" i="34"/>
  <c r="C23" i="34"/>
  <c r="I9" i="13"/>
  <c r="AI42" i="7"/>
  <c r="AK42" i="7"/>
  <c r="AG42" i="7"/>
  <c r="AI32" i="7"/>
  <c r="AK32" i="7"/>
  <c r="AG32" i="7"/>
  <c r="AI25" i="7"/>
  <c r="AK25" i="7"/>
  <c r="AG25" i="7"/>
  <c r="AG36" i="7" s="1"/>
  <c r="AM26" i="7"/>
  <c r="AM27" i="7"/>
  <c r="AM28" i="7"/>
  <c r="AM29" i="7"/>
  <c r="AM30" i="7"/>
  <c r="AM31" i="7"/>
  <c r="AM33" i="7"/>
  <c r="AM34" i="7"/>
  <c r="AM35" i="7"/>
  <c r="AM37" i="7"/>
  <c r="AM38" i="7"/>
  <c r="AM39" i="7"/>
  <c r="AM40" i="7"/>
  <c r="AM41" i="7"/>
  <c r="O42" i="7"/>
  <c r="Q42" i="7"/>
  <c r="O32" i="7"/>
  <c r="Q32" i="7"/>
  <c r="O25" i="7"/>
  <c r="Q25" i="7"/>
  <c r="M42" i="7"/>
  <c r="M25" i="7"/>
  <c r="G25" i="7"/>
  <c r="BQ26" i="7"/>
  <c r="BQ27" i="7"/>
  <c r="BQ28" i="7"/>
  <c r="BQ29" i="7"/>
  <c r="BQ30" i="7"/>
  <c r="BQ31" i="7"/>
  <c r="BQ33" i="7"/>
  <c r="BQ34" i="7"/>
  <c r="BQ35" i="7"/>
  <c r="BQ37" i="7"/>
  <c r="BQ38" i="7"/>
  <c r="BQ39" i="7"/>
  <c r="BQ40" i="7"/>
  <c r="BQ41" i="7"/>
  <c r="BO42" i="7"/>
  <c r="BM42" i="7"/>
  <c r="BK42" i="7"/>
  <c r="BO32" i="7"/>
  <c r="BM32" i="7"/>
  <c r="BM25" i="7"/>
  <c r="CG25" i="7" s="1"/>
  <c r="BO25" i="7"/>
  <c r="CI25" i="7" s="1"/>
  <c r="BK25" i="7"/>
  <c r="BG26" i="7"/>
  <c r="BG27" i="7"/>
  <c r="BG28" i="7"/>
  <c r="BG29" i="7"/>
  <c r="BG30" i="7"/>
  <c r="BG31" i="7"/>
  <c r="BG33" i="7"/>
  <c r="BG34" i="7"/>
  <c r="BG35" i="7"/>
  <c r="BG37" i="7"/>
  <c r="BG38" i="7"/>
  <c r="BG39" i="7"/>
  <c r="BG40" i="7"/>
  <c r="BG41" i="7"/>
  <c r="BC42" i="7"/>
  <c r="BE42" i="7"/>
  <c r="BC32" i="7"/>
  <c r="BE32" i="7"/>
  <c r="BC25" i="7"/>
  <c r="BE25" i="7"/>
  <c r="BA42" i="7"/>
  <c r="BA25" i="7"/>
  <c r="AW26" i="7"/>
  <c r="AW27" i="7"/>
  <c r="AW28" i="7"/>
  <c r="AW29" i="7"/>
  <c r="AW30" i="7"/>
  <c r="AW31" i="7"/>
  <c r="AW33" i="7"/>
  <c r="AW34" i="7"/>
  <c r="AW35" i="7"/>
  <c r="AW37" i="7"/>
  <c r="AW38" i="7"/>
  <c r="AW39" i="7"/>
  <c r="AW40" i="7"/>
  <c r="AW41" i="7"/>
  <c r="AS42" i="7"/>
  <c r="AU42" i="7"/>
  <c r="AS32" i="7"/>
  <c r="AS25" i="7"/>
  <c r="AU25" i="7"/>
  <c r="AU36" i="7" s="1"/>
  <c r="AQ42" i="7"/>
  <c r="AQ32" i="7"/>
  <c r="AQ25" i="7"/>
  <c r="E42" i="7"/>
  <c r="G42" i="7"/>
  <c r="E32" i="7"/>
  <c r="G32" i="7"/>
  <c r="G36" i="7" s="1"/>
  <c r="C42" i="7"/>
  <c r="C25" i="7"/>
  <c r="I26" i="7"/>
  <c r="I27" i="7"/>
  <c r="I28" i="7"/>
  <c r="I29" i="7"/>
  <c r="I30" i="7"/>
  <c r="I31" i="7"/>
  <c r="I33" i="7"/>
  <c r="I34" i="7"/>
  <c r="I35" i="7"/>
  <c r="I37" i="7"/>
  <c r="I38" i="7"/>
  <c r="I39" i="7"/>
  <c r="I40" i="7"/>
  <c r="I41" i="7"/>
  <c r="BO21" i="7"/>
  <c r="BM21" i="7"/>
  <c r="BK21" i="7"/>
  <c r="BQ20" i="7"/>
  <c r="BQ19" i="7"/>
  <c r="BQ18" i="7"/>
  <c r="BQ17" i="7"/>
  <c r="BQ16" i="7"/>
  <c r="BQ15" i="7"/>
  <c r="BQ14" i="7"/>
  <c r="BO13" i="7"/>
  <c r="BM13" i="7"/>
  <c r="BK13" i="7"/>
  <c r="BQ12" i="7"/>
  <c r="BQ11" i="7"/>
  <c r="BQ10" i="7"/>
  <c r="BQ9" i="7"/>
  <c r="BQ8" i="7"/>
  <c r="BQ7" i="7"/>
  <c r="BQ6" i="7"/>
  <c r="BQ5" i="7"/>
  <c r="BE21" i="7"/>
  <c r="BC21" i="7"/>
  <c r="BA21" i="7"/>
  <c r="BG20" i="7"/>
  <c r="BG19" i="7"/>
  <c r="BG18" i="7"/>
  <c r="BG17" i="7"/>
  <c r="BG16" i="7"/>
  <c r="BG15" i="7"/>
  <c r="BG14" i="7"/>
  <c r="BE13" i="7"/>
  <c r="BC13" i="7"/>
  <c r="BA13" i="7"/>
  <c r="BG12" i="7"/>
  <c r="BG11" i="7"/>
  <c r="BG10" i="7"/>
  <c r="BG9" i="7"/>
  <c r="BG8" i="7"/>
  <c r="BG7" i="7"/>
  <c r="BG6" i="7"/>
  <c r="BG5" i="7"/>
  <c r="AU21" i="7"/>
  <c r="AS21" i="7"/>
  <c r="AQ21" i="7"/>
  <c r="AW20" i="7"/>
  <c r="AW19" i="7"/>
  <c r="AW18" i="7"/>
  <c r="AW17" i="7"/>
  <c r="AW16" i="7"/>
  <c r="AW15" i="7"/>
  <c r="AW14" i="7"/>
  <c r="AU13" i="7"/>
  <c r="AS13" i="7"/>
  <c r="AW12" i="7"/>
  <c r="AW11" i="7"/>
  <c r="AW10" i="7"/>
  <c r="AW9" i="7"/>
  <c r="AW8" i="7"/>
  <c r="AW7" i="7"/>
  <c r="AW6" i="7"/>
  <c r="AW5" i="7"/>
  <c r="AK21" i="7"/>
  <c r="AI21" i="7"/>
  <c r="AG21" i="7"/>
  <c r="AM20" i="7"/>
  <c r="AM19" i="7"/>
  <c r="AM18" i="7"/>
  <c r="AM17" i="7"/>
  <c r="AM16" i="7"/>
  <c r="AM15" i="7"/>
  <c r="AM14" i="7"/>
  <c r="AK13" i="7"/>
  <c r="AI13" i="7"/>
  <c r="AM12" i="7"/>
  <c r="AM11" i="7"/>
  <c r="AM10" i="7"/>
  <c r="AM9" i="7"/>
  <c r="AM8" i="7"/>
  <c r="AM7" i="7"/>
  <c r="AM6" i="7"/>
  <c r="AM5" i="7"/>
  <c r="Q21" i="7"/>
  <c r="O21" i="7"/>
  <c r="M21" i="7"/>
  <c r="S20" i="7"/>
  <c r="S19" i="7"/>
  <c r="S18" i="7"/>
  <c r="S17" i="7"/>
  <c r="S16" i="7"/>
  <c r="S15" i="7"/>
  <c r="S14" i="7"/>
  <c r="Q13" i="7"/>
  <c r="O13" i="7"/>
  <c r="M13" i="7"/>
  <c r="S12" i="7"/>
  <c r="S11" i="7"/>
  <c r="S10" i="7"/>
  <c r="S9" i="7"/>
  <c r="S8" i="7"/>
  <c r="S7" i="7"/>
  <c r="S6" i="7"/>
  <c r="S5" i="7"/>
  <c r="G21" i="7"/>
  <c r="E21" i="7"/>
  <c r="C21" i="7"/>
  <c r="I20" i="7"/>
  <c r="I19" i="7"/>
  <c r="I18" i="7"/>
  <c r="I17" i="7"/>
  <c r="I16" i="7"/>
  <c r="I15" i="7"/>
  <c r="I14" i="7"/>
  <c r="G13" i="7"/>
  <c r="C13" i="7"/>
  <c r="I12" i="7"/>
  <c r="I11" i="7"/>
  <c r="I10" i="7"/>
  <c r="I8" i="7"/>
  <c r="I7" i="7"/>
  <c r="I6" i="7"/>
  <c r="I5" i="7"/>
  <c r="G61" i="33"/>
  <c r="E61" i="33"/>
  <c r="I54" i="33"/>
  <c r="I52" i="33"/>
  <c r="I51" i="33"/>
  <c r="I50" i="33"/>
  <c r="G49" i="33"/>
  <c r="E49" i="33"/>
  <c r="I47" i="33"/>
  <c r="I46" i="33"/>
  <c r="I45" i="33"/>
  <c r="G43" i="33"/>
  <c r="G38" i="33" s="1"/>
  <c r="E43" i="33"/>
  <c r="E38" i="33" s="1"/>
  <c r="I42" i="33"/>
  <c r="I41" i="33"/>
  <c r="I40" i="33"/>
  <c r="I39" i="33"/>
  <c r="G33" i="33"/>
  <c r="E33" i="33"/>
  <c r="C33" i="33"/>
  <c r="I33" i="33" s="1"/>
  <c r="G23" i="33"/>
  <c r="E23" i="33"/>
  <c r="E34" i="33" s="1"/>
  <c r="C23" i="33"/>
  <c r="G7" i="33"/>
  <c r="E7" i="33"/>
  <c r="I42" i="19"/>
  <c r="I43" i="19"/>
  <c r="I44" i="19"/>
  <c r="I45" i="19"/>
  <c r="I48" i="19"/>
  <c r="I49" i="19"/>
  <c r="I50" i="19"/>
  <c r="I53" i="19"/>
  <c r="I54" i="19"/>
  <c r="I55" i="19"/>
  <c r="I57" i="19"/>
  <c r="I59" i="19"/>
  <c r="I60" i="19"/>
  <c r="I61" i="19"/>
  <c r="I63" i="19"/>
  <c r="E52" i="19"/>
  <c r="G52" i="19"/>
  <c r="E41" i="19"/>
  <c r="G46" i="19"/>
  <c r="G41" i="19" s="1"/>
  <c r="I24" i="19"/>
  <c r="I10" i="19"/>
  <c r="I11" i="19"/>
  <c r="I12" i="19"/>
  <c r="I13" i="19"/>
  <c r="I14" i="19"/>
  <c r="I15" i="19"/>
  <c r="I16" i="19"/>
  <c r="I17" i="19"/>
  <c r="I19" i="19"/>
  <c r="I20" i="19"/>
  <c r="I21" i="19"/>
  <c r="I22" i="19"/>
  <c r="I5" i="19"/>
  <c r="G23" i="19"/>
  <c r="E7" i="19"/>
  <c r="G7" i="19"/>
  <c r="I16" i="17" l="1"/>
  <c r="R16" i="17"/>
  <c r="R29" i="17" s="1"/>
  <c r="R31" i="17" s="1"/>
  <c r="I17" i="17"/>
  <c r="I28" i="17" s="1"/>
  <c r="I29" i="17" s="1"/>
  <c r="I30" i="17"/>
  <c r="I7" i="33"/>
  <c r="I23" i="33"/>
  <c r="I61" i="33"/>
  <c r="CL30" i="7"/>
  <c r="CL33" i="7"/>
  <c r="CL28" i="7"/>
  <c r="CL27" i="7"/>
  <c r="CL26" i="7"/>
  <c r="CK12" i="7"/>
  <c r="CK41" i="7"/>
  <c r="CK31" i="7"/>
  <c r="CK5" i="7"/>
  <c r="CK19" i="7"/>
  <c r="CK40" i="7"/>
  <c r="CK30" i="7"/>
  <c r="Q36" i="7"/>
  <c r="Q43" i="7" s="1"/>
  <c r="CG13" i="7"/>
  <c r="CK20" i="7"/>
  <c r="CK27" i="7"/>
  <c r="CK39" i="7"/>
  <c r="CK29" i="7"/>
  <c r="CK6" i="7"/>
  <c r="CK8" i="7"/>
  <c r="CK14" i="7"/>
  <c r="CG21" i="7"/>
  <c r="CI32" i="7"/>
  <c r="CK37" i="7"/>
  <c r="CI13" i="7"/>
  <c r="CK38" i="7"/>
  <c r="CK15" i="7"/>
  <c r="CI21" i="7"/>
  <c r="CK33" i="7"/>
  <c r="CE42" i="7"/>
  <c r="CK35" i="7"/>
  <c r="CK7" i="7"/>
  <c r="BE22" i="7"/>
  <c r="CK10" i="7"/>
  <c r="CK16" i="7"/>
  <c r="CG42" i="7"/>
  <c r="CK34" i="7"/>
  <c r="CG32" i="7"/>
  <c r="CK11" i="7"/>
  <c r="CI42" i="7"/>
  <c r="CK9" i="7"/>
  <c r="CE21" i="7"/>
  <c r="CE13" i="7"/>
  <c r="CK28" i="7"/>
  <c r="CE25" i="7"/>
  <c r="CK26" i="7"/>
  <c r="CK17" i="7"/>
  <c r="CK18" i="7"/>
  <c r="G53" i="33"/>
  <c r="G62" i="33" s="1"/>
  <c r="AG22" i="7"/>
  <c r="AM22" i="7" s="1"/>
  <c r="O22" i="7"/>
  <c r="E56" i="19"/>
  <c r="E65" i="19" s="1"/>
  <c r="E68" i="19" s="1"/>
  <c r="G34" i="33"/>
  <c r="K33" i="34"/>
  <c r="G33" i="34"/>
  <c r="BM22" i="7"/>
  <c r="C34" i="33"/>
  <c r="Q22" i="7"/>
  <c r="AI22" i="7"/>
  <c r="AQ22" i="7"/>
  <c r="BO22" i="7"/>
  <c r="CI22" i="7" s="1"/>
  <c r="BE36" i="7"/>
  <c r="BE43" i="7" s="1"/>
  <c r="O36" i="7"/>
  <c r="O43" i="7" s="1"/>
  <c r="E53" i="33"/>
  <c r="E62" i="33" s="1"/>
  <c r="AK22" i="7"/>
  <c r="AS22" i="7"/>
  <c r="BC36" i="7"/>
  <c r="BC43" i="7" s="1"/>
  <c r="BO36" i="7"/>
  <c r="BA22" i="7"/>
  <c r="I25" i="7"/>
  <c r="O31" i="34"/>
  <c r="AM32" i="7"/>
  <c r="E22" i="7"/>
  <c r="M22" i="7"/>
  <c r="S22" i="7" s="1"/>
  <c r="AU22" i="7"/>
  <c r="BC22" i="7"/>
  <c r="BK22" i="7"/>
  <c r="BM36" i="7"/>
  <c r="G43" i="7"/>
  <c r="AS36" i="7"/>
  <c r="AS43" i="7" s="1"/>
  <c r="M33" i="34"/>
  <c r="I33" i="34"/>
  <c r="E33" i="34"/>
  <c r="N33" i="34"/>
  <c r="BO43" i="7"/>
  <c r="CI43" i="7" s="1"/>
  <c r="BQ42" i="7"/>
  <c r="BQ32" i="7"/>
  <c r="BK36" i="7"/>
  <c r="BQ21" i="7"/>
  <c r="BG25" i="7"/>
  <c r="BG42" i="7"/>
  <c r="BG32" i="7"/>
  <c r="BG21" i="7"/>
  <c r="AU43" i="7"/>
  <c r="AW42" i="7"/>
  <c r="AW32" i="7"/>
  <c r="AQ36" i="7"/>
  <c r="AQ43" i="7" s="1"/>
  <c r="AW21" i="7"/>
  <c r="AM42" i="7"/>
  <c r="AK36" i="7"/>
  <c r="AK43" i="7" s="1"/>
  <c r="AM25" i="7"/>
  <c r="AI36" i="7"/>
  <c r="AI43" i="7" s="1"/>
  <c r="AM21" i="7"/>
  <c r="I32" i="7"/>
  <c r="E36" i="7"/>
  <c r="E43" i="7" s="1"/>
  <c r="I49" i="33"/>
  <c r="G56" i="19"/>
  <c r="G65" i="19" s="1"/>
  <c r="G68" i="19" s="1"/>
  <c r="I46" i="19"/>
  <c r="G34" i="19"/>
  <c r="G37" i="19" s="1"/>
  <c r="I7" i="19"/>
  <c r="I43" i="33"/>
  <c r="O24" i="35"/>
  <c r="L33" i="34"/>
  <c r="H33" i="34"/>
  <c r="F33" i="34"/>
  <c r="J33" i="34"/>
  <c r="O14" i="35"/>
  <c r="C18" i="35"/>
  <c r="O10" i="35"/>
  <c r="O5" i="35"/>
  <c r="E34" i="19"/>
  <c r="E37" i="19" s="1"/>
  <c r="E69" i="19" s="1"/>
  <c r="C32" i="34"/>
  <c r="BA36" i="7"/>
  <c r="BQ25" i="7"/>
  <c r="AW25" i="7"/>
  <c r="S21" i="7"/>
  <c r="C36" i="7"/>
  <c r="I42" i="7"/>
  <c r="I21" i="7"/>
  <c r="BQ13" i="7"/>
  <c r="BG13" i="7"/>
  <c r="AW13" i="7"/>
  <c r="AM13" i="7"/>
  <c r="S13" i="7"/>
  <c r="G22" i="7"/>
  <c r="I13" i="7"/>
  <c r="C22" i="7"/>
  <c r="I52" i="19"/>
  <c r="I31" i="17" l="1"/>
  <c r="R33" i="17" s="1"/>
  <c r="G69" i="19"/>
  <c r="I34" i="33"/>
  <c r="CL32" i="7"/>
  <c r="CK32" i="7"/>
  <c r="CI36" i="7"/>
  <c r="BQ36" i="7"/>
  <c r="C33" i="34"/>
  <c r="C34" i="34" s="1"/>
  <c r="CG22" i="7"/>
  <c r="CK42" i="7"/>
  <c r="CG36" i="7"/>
  <c r="CK13" i="7"/>
  <c r="CK21" i="7"/>
  <c r="CE22" i="7"/>
  <c r="CK25" i="7"/>
  <c r="CE36" i="7"/>
  <c r="O18" i="35"/>
  <c r="C62" i="33"/>
  <c r="I62" i="33" s="1"/>
  <c r="BK43" i="7"/>
  <c r="BG22" i="7"/>
  <c r="BG44" i="7" s="1"/>
  <c r="AW22" i="7"/>
  <c r="BQ22" i="7"/>
  <c r="BM43" i="7"/>
  <c r="CG43" i="7" s="1"/>
  <c r="I22" i="7"/>
  <c r="E32" i="34"/>
  <c r="AW36" i="7"/>
  <c r="AW43" i="7"/>
  <c r="M43" i="7"/>
  <c r="I6" i="19"/>
  <c r="C23" i="19"/>
  <c r="BG36" i="7"/>
  <c r="BA43" i="7"/>
  <c r="BG43" i="7" s="1"/>
  <c r="AM36" i="7"/>
  <c r="AG43" i="7"/>
  <c r="AM43" i="7" s="1"/>
  <c r="I36" i="7"/>
  <c r="C43" i="7"/>
  <c r="I38" i="33"/>
  <c r="I41" i="19"/>
  <c r="C56" i="19"/>
  <c r="P33" i="17" l="1"/>
  <c r="CL36" i="7"/>
  <c r="S44" i="7"/>
  <c r="CK22" i="7"/>
  <c r="CE43" i="7"/>
  <c r="CK36" i="7"/>
  <c r="I53" i="33"/>
  <c r="AW44" i="7"/>
  <c r="O25" i="35"/>
  <c r="D33" i="34"/>
  <c r="BQ43" i="7"/>
  <c r="BQ44" i="7" s="1"/>
  <c r="I43" i="7"/>
  <c r="O23" i="34"/>
  <c r="I23" i="19"/>
  <c r="C34" i="19"/>
  <c r="C65" i="19"/>
  <c r="C68" i="19" s="1"/>
  <c r="I56" i="19"/>
  <c r="C37" i="19" l="1"/>
  <c r="C69" i="19" s="1"/>
  <c r="I34" i="19"/>
  <c r="T44" i="7"/>
  <c r="CC44" i="7" s="1"/>
  <c r="I44" i="7"/>
  <c r="O33" i="34"/>
  <c r="D34" i="34"/>
  <c r="E34" i="34" s="1"/>
  <c r="F34" i="34" s="1"/>
  <c r="G34" i="34" s="1"/>
  <c r="H34" i="34" s="1"/>
  <c r="I34" i="34" s="1"/>
  <c r="J34" i="34" s="1"/>
  <c r="K34" i="34" s="1"/>
  <c r="L34" i="34" s="1"/>
  <c r="M34" i="34" s="1"/>
  <c r="N34" i="34" s="1"/>
  <c r="O32" i="34"/>
  <c r="I65" i="19"/>
  <c r="I68" i="19"/>
  <c r="I37" i="19" l="1"/>
  <c r="I69" i="19" s="1"/>
  <c r="P8" i="35"/>
  <c r="P15" i="35"/>
  <c r="P11" i="35"/>
  <c r="P22" i="35"/>
  <c r="P9" i="35"/>
  <c r="P18" i="35"/>
  <c r="P21" i="35"/>
  <c r="P16" i="35"/>
  <c r="P19" i="35"/>
  <c r="P12" i="35"/>
  <c r="P7" i="35"/>
  <c r="P14" i="35"/>
  <c r="P20" i="35"/>
  <c r="P24" i="35"/>
  <c r="P13" i="35"/>
  <c r="P10" i="35"/>
  <c r="P6" i="35"/>
  <c r="P17" i="35"/>
  <c r="C7" i="15"/>
</calcChain>
</file>

<file path=xl/sharedStrings.xml><?xml version="1.0" encoding="utf-8"?>
<sst xmlns="http://schemas.openxmlformats.org/spreadsheetml/2006/main" count="2186" uniqueCount="565">
  <si>
    <t>Összesen:</t>
  </si>
  <si>
    <t>Budakeszi Város Önkormányzatának fennálló több évre kiható kötelezettségvállalásainak részletezése</t>
  </si>
  <si>
    <t>Hitel futamidő vége</t>
  </si>
  <si>
    <t>Átengedett központi adóból</t>
  </si>
  <si>
    <t>Polgármesteri Hivatal</t>
  </si>
  <si>
    <t>Támogatás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</si>
  <si>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</si>
  <si>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</si>
  <si>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</si>
  <si>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</si>
  <si>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</si>
  <si>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</si>
  <si>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</si>
  <si>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</si>
  <si>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</si>
  <si>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</si>
  <si>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</si>
  <si>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</si>
  <si>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</si>
  <si>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</si>
  <si>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</si>
  <si>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</si>
  <si>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</si>
  <si>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</si>
  <si>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</si>
  <si>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</si>
  <si>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</si>
  <si>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</si>
  <si>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</si>
  <si>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</si>
  <si>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</si>
  <si>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</si>
  <si>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</si>
  <si>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</si>
  <si>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Bursa ösztöndij</t>
  </si>
  <si>
    <t>tőketörlesztés</t>
  </si>
  <si>
    <t>kamat</t>
  </si>
  <si>
    <t>összesen</t>
  </si>
  <si>
    <t>-ebből építményadó</t>
  </si>
  <si>
    <t>-ebből telekadó</t>
  </si>
  <si>
    <t>-ebből iparűzési adó</t>
  </si>
  <si>
    <t>-ebből gépjárműadó</t>
  </si>
  <si>
    <t>Budakeszi Város Önkormányzatának és intézményeinek költségvetése</t>
  </si>
  <si>
    <t xml:space="preserve">Bevételek </t>
  </si>
  <si>
    <t>Nagy Gáspár Városi Könyvtár</t>
  </si>
  <si>
    <t>sorszám</t>
  </si>
  <si>
    <t>megnevezés</t>
  </si>
  <si>
    <t>összesen:</t>
  </si>
  <si>
    <t>megjegyzés</t>
  </si>
  <si>
    <t>Ellátottak pénzbeli juttatása</t>
  </si>
  <si>
    <t>Egyéb működési célú kiadások</t>
  </si>
  <si>
    <t>Céltartalék</t>
  </si>
  <si>
    <t>Általános tartalék</t>
  </si>
  <si>
    <t>Tartalékok összesen:</t>
  </si>
  <si>
    <t xml:space="preserve"> </t>
  </si>
  <si>
    <t>2.1</t>
  </si>
  <si>
    <t>2.2</t>
  </si>
  <si>
    <t>3.1</t>
  </si>
  <si>
    <t xml:space="preserve"> Budakeszi Önkormányzat bevételeiből</t>
  </si>
  <si>
    <t xml:space="preserve">Építményadóból 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</si>
  <si>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</si>
  <si>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</si>
  <si>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</si>
  <si>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</si>
  <si>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</si>
  <si>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</si>
  <si>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</si>
  <si>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Budakeszi Bölcsőde közalkalmazott</t>
  </si>
  <si>
    <t>Szivárvány Óvoda közalkalmazott</t>
  </si>
  <si>
    <t>Erkel Ferenc Művelődési Központ közalkalmazott</t>
  </si>
  <si>
    <t xml:space="preserve">                  Rehab.foglalkoztatott</t>
  </si>
  <si>
    <t>-ebből idegenforgalmi adó</t>
  </si>
  <si>
    <t>Mindösszesen:</t>
  </si>
  <si>
    <t>-mezőőr</t>
  </si>
  <si>
    <t xml:space="preserve">-polgármester (különleges jogállású) </t>
  </si>
  <si>
    <t>Tájékoztató adatok az Áht. 24.§ (4) bekezdése alapján</t>
  </si>
  <si>
    <t>Tájékoztató adatok az Áht. 24. § (4) bekezdése alapján</t>
  </si>
  <si>
    <t>-ebből támogatási szerződés szerint elszámolandó</t>
  </si>
  <si>
    <t xml:space="preserve">Kimutatás az Európai Uniós támogatásokkal megvalósuló projektekről </t>
  </si>
  <si>
    <t>tájékoztató adatok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</si>
  <si>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</si>
  <si>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</si>
  <si>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</si>
  <si>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</si>
  <si>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</si>
  <si>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</si>
  <si>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társulásoktól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</si>
  <si>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</si>
  <si>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</si>
  <si>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</si>
  <si>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</si>
  <si>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</si>
  <si>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</si>
  <si>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</si>
  <si>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</si>
  <si>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</si>
  <si>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</si>
  <si>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</si>
  <si>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</si>
  <si>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</si>
  <si>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</si>
  <si>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</si>
  <si>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</si>
  <si>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</si>
  <si>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</si>
  <si>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</si>
  <si>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</si>
  <si>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</si>
  <si>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</si>
  <si>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</si>
  <si>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</si>
  <si>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</si>
  <si>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</si>
  <si>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</si>
  <si>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</si>
  <si>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</si>
  <si>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</si>
  <si>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</si>
  <si>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</si>
  <si>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</si>
  <si>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</si>
  <si>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</si>
  <si>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</si>
  <si>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</si>
  <si>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</si>
  <si>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Budakeszi Város Önkormányzatának költségvetése</t>
  </si>
  <si>
    <t>Felhalmozási célú támogatások áll.házt.belülről</t>
  </si>
  <si>
    <t>ssz.</t>
  </si>
  <si>
    <t>Felhalmozási célú támogatások áll.házt. belülről</t>
  </si>
  <si>
    <t>Budakeszi Polgármesteri Hivatal költségvetése</t>
  </si>
  <si>
    <t>Budakeszi Bölcsöde költségvetése</t>
  </si>
  <si>
    <t>Pitypang Óvoda költségvetése</t>
  </si>
  <si>
    <t>Szivárvány Óvoda költségvetése</t>
  </si>
  <si>
    <t>Erkel Ferenc Művelődési Központ</t>
  </si>
  <si>
    <t>Működési célú támogatások áll.házt.belülről</t>
  </si>
  <si>
    <t>Dologi kiadások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</si>
  <si>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</si>
  <si>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</si>
  <si>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</si>
  <si>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</si>
  <si>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</si>
  <si>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</si>
  <si>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</si>
  <si>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</si>
  <si>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</si>
  <si>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</si>
  <si>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</si>
  <si>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</si>
  <si>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</si>
  <si>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</si>
  <si>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</si>
  <si>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</si>
  <si>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</si>
  <si>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</si>
  <si>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MINDÖSSZESEN: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</si>
  <si>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</si>
  <si>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</si>
  <si>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</si>
  <si>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</si>
  <si>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</si>
  <si>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</si>
  <si>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</si>
  <si>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</si>
  <si>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</si>
  <si>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</si>
  <si>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</si>
  <si>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</si>
  <si>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</si>
  <si>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</si>
  <si>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Likviditási célú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</si>
  <si>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</si>
  <si>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</si>
  <si>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</si>
  <si>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</si>
  <si>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Hitelek törlesztése</t>
  </si>
  <si>
    <t>Befektetési célú értékpapírok vásárlása</t>
  </si>
  <si>
    <t>Pénzügyi lizing kiadásai</t>
  </si>
  <si>
    <t>FELHALMOZÁSI CÉLÚ FINANSZÍROZÁSI KIADÁSOK ÖSSZESEN:</t>
  </si>
  <si>
    <t>Személyi juttatások K1</t>
  </si>
  <si>
    <t>Maradvány igénybevétele B8131</t>
  </si>
  <si>
    <t>Munkaadókat terhelő járulékok és szociális hozz.adó  K2</t>
  </si>
  <si>
    <t>Dologi kiadások K3</t>
  </si>
  <si>
    <t>Működési bevételek B4</t>
  </si>
  <si>
    <t>Működési célú támogatások államháztartáson belülről B1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</si>
  <si>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</si>
  <si>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</si>
  <si>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</si>
  <si>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</si>
  <si>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</si>
  <si>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</si>
  <si>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</si>
  <si>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</si>
  <si>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Működési célú támogatások államháztartáson belülrőlB1</t>
  </si>
  <si>
    <t>BVV támogatása</t>
  </si>
  <si>
    <t>Iskolaorvos</t>
  </si>
  <si>
    <t>Telekadóból</t>
  </si>
  <si>
    <t xml:space="preserve">Gépjármű adóból </t>
  </si>
  <si>
    <t>Nagy Gáspár Városi Könyvtár közalkalmazott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</si>
  <si>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</si>
  <si>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</si>
  <si>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</si>
  <si>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</si>
  <si>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</si>
  <si>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</si>
  <si>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</si>
  <si>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</si>
  <si>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október</t>
  </si>
  <si>
    <t>november</t>
  </si>
  <si>
    <t>december</t>
  </si>
  <si>
    <t xml:space="preserve">Munkaadókat terh.járulékok és szoc.hozz.adó  </t>
  </si>
  <si>
    <t>Hitel, kölcsöntörl. államházt. kívülre</t>
  </si>
  <si>
    <t>kiadások</t>
  </si>
  <si>
    <t>göngyölt összeg</t>
  </si>
  <si>
    <t>1.oldal</t>
  </si>
  <si>
    <t>Budakeszi Mosolyvár Bölcsöde költségvetése</t>
  </si>
  <si>
    <t>Köztemetés</t>
  </si>
  <si>
    <t>Önkormányzat összesen</t>
  </si>
  <si>
    <t>Kötelező feladat</t>
  </si>
  <si>
    <t>Önként vállalt feladat</t>
  </si>
  <si>
    <t>Állami feladat</t>
  </si>
  <si>
    <t>Összesen</t>
  </si>
  <si>
    <t>Civil szervezetek támogatása</t>
  </si>
  <si>
    <t>Mosolyvár Bölcsőde</t>
  </si>
  <si>
    <t>-</t>
  </si>
  <si>
    <t>Városi rendezvények keret</t>
  </si>
  <si>
    <t>Polgármesteri keret</t>
  </si>
  <si>
    <t>-ebből Lakásfenntartási alap</t>
  </si>
  <si>
    <t>-ebből Lakossági járdaépítési alap</t>
  </si>
  <si>
    <t>Prohászka Ottokár Gimnázium  támogatása</t>
  </si>
  <si>
    <t>Fejlesztési céltartalék</t>
  </si>
  <si>
    <t>Önkormányzat, Polgármesteri Hvatal és az Intézmények egyéb sajátos bevételeiből</t>
  </si>
  <si>
    <t>ebből: lakásépítéshez, lakásfelújításhoz nyújtott kölcsön elengedése</t>
  </si>
  <si>
    <t>ebből: ellátottak térítési díjának, kártérítésének méltányossági alapon történő elengedése</t>
  </si>
  <si>
    <t>ebből: a helyiségek, eszközök hasznosításából származó bevételből nyújtott kedvezmény, mentesség összege</t>
  </si>
  <si>
    <t>ebből. egyéb nyújtott kedvezmény vagy kölcsön elengedésének összege</t>
  </si>
  <si>
    <t>4</t>
  </si>
  <si>
    <t>6</t>
  </si>
  <si>
    <t>eredeti előirányzat</t>
  </si>
  <si>
    <t xml:space="preserve">Nem rendszeres települési támogatások  </t>
  </si>
  <si>
    <t>Rendkívüli települési támogatás</t>
  </si>
  <si>
    <t>Támogatások összesen:</t>
  </si>
  <si>
    <t>Intézmény</t>
  </si>
  <si>
    <t>9</t>
  </si>
  <si>
    <t>20.</t>
  </si>
  <si>
    <t>-ebből lekötött bankbetétek megszüntetése</t>
  </si>
  <si>
    <t>- lekötött bankbetétek megszüntetése</t>
  </si>
  <si>
    <t>- ebből pénzeszközök lekötött betétként elhelyezése</t>
  </si>
  <si>
    <t>- ebből irányítószervi támogatás</t>
  </si>
  <si>
    <t>- ebből központi irányítószervi támogatás</t>
  </si>
  <si>
    <t>tőke</t>
  </si>
  <si>
    <t xml:space="preserve">Pitypang Sport Óvoda közalkalmazott </t>
  </si>
  <si>
    <t>Budakeszi Város Önkormányzata</t>
  </si>
  <si>
    <t>Tartalékok (11. mell. 1. - 4. pont)</t>
  </si>
  <si>
    <t>1</t>
  </si>
  <si>
    <t>3</t>
  </si>
  <si>
    <t>7</t>
  </si>
  <si>
    <t>10</t>
  </si>
  <si>
    <t>MEGNEVEZÉS</t>
  </si>
  <si>
    <t>Sor-szám</t>
  </si>
  <si>
    <t>Saját bevétel és adósságot keletkeztető ügyletből eredő fizetési kötelezettség összegei</t>
  </si>
  <si>
    <t>ÖSSZESEN
F=(C+D+E)</t>
  </si>
  <si>
    <t>Helyi adóból és a települési adóból származó bevétel</t>
  </si>
  <si>
    <t>01</t>
  </si>
  <si>
    <t>Az önkormányzati vagyon és az önkormányzatot megillető vagyoni értékű jog értékesítéséből és hasznosításából származó bevétel</t>
  </si>
  <si>
    <t>02</t>
  </si>
  <si>
    <t>Osztalék, koncessziós díj és hozambevétel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</si>
  <si>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</si>
  <si>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</si>
  <si>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</si>
  <si>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</si>
  <si>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</si>
  <si>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</si>
  <si>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</si>
  <si>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</si>
  <si>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</si>
  <si>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 sor)  50%-a </t>
  </si>
  <si>
    <t>08</t>
  </si>
  <si>
    <t>09</t>
  </si>
  <si>
    <t>Tárgyévben esedékes tőke törlesztés</t>
  </si>
  <si>
    <t>Tárgyévben esedékes kamat törlesztés</t>
  </si>
  <si>
    <t>11</t>
  </si>
  <si>
    <t>Fizetési kötelezettség (10+11)</t>
  </si>
  <si>
    <t>Fizetési kötelezettséggel csökkentett saját bevétel 50%-a (07-12)</t>
  </si>
  <si>
    <t>-ebből Környezetvédelmi  alap</t>
  </si>
  <si>
    <t>FELHELMOZÁSI CÉLÚ KÖLTSÉGVETÉSI KIADÁSOK ÖSSZESEN:</t>
  </si>
  <si>
    <t>-ebből egyéb közhatalmi bevételek</t>
  </si>
  <si>
    <t>- ebből fejlesztési céltartalék</t>
  </si>
  <si>
    <t>Működési célú bevételek és kiadások egyenlege</t>
  </si>
  <si>
    <t>Felhalmozási célú bevételek és kiadások egyenlege</t>
  </si>
  <si>
    <t>Budakeszi Polgármesteri Hivatal</t>
  </si>
  <si>
    <t>Budakeszi Bölcsöde</t>
  </si>
  <si>
    <t>Budakeszi Mosolyvár Bölcsöde</t>
  </si>
  <si>
    <t>Pitypang Sport Óvoda</t>
  </si>
  <si>
    <t>Szivárvány Óvoda</t>
  </si>
  <si>
    <t>91110 Óvodai nevelés, ellátás, szakmai feladatai</t>
  </si>
  <si>
    <t>91140 Óvodai nevelés, ellátás működtetési feladatai</t>
  </si>
  <si>
    <t>96015 Gyermekétkeztetés köznevelési intézményben</t>
  </si>
  <si>
    <t>104031 Gyermekek bölcsödei ellátás</t>
  </si>
  <si>
    <t>104035 Gyermekétkeztetés bölcsödében, fogyatékosok nappali intézményében</t>
  </si>
  <si>
    <t>82044 Könyvtári szolgáltatások</t>
  </si>
  <si>
    <t>82042 Könyvtári állomány gyarapítása, nyilvántartása</t>
  </si>
  <si>
    <t>82092 Közmuvelodés-hagyományos közösségi kulturális értékek gondozása</t>
  </si>
  <si>
    <t>11130 Önkormányzatok és önkormányzati hivatalok jogalkotó és általános igazgatási tevékenysége</t>
  </si>
  <si>
    <t>Tájékoztató - Budakeszi Város Önkormányzatának és Intézményenek költségvetési előirányzatai kormányzati funkciónként (COFOG)</t>
  </si>
  <si>
    <t>-ebből Útépítési alap</t>
  </si>
  <si>
    <t>-ebből Temetőfejlesztési alap</t>
  </si>
  <si>
    <t>12</t>
  </si>
  <si>
    <t>13</t>
  </si>
  <si>
    <t>15</t>
  </si>
  <si>
    <t>16</t>
  </si>
  <si>
    <t>-ebből Általános fejlesztési alap</t>
  </si>
  <si>
    <t>június</t>
  </si>
  <si>
    <t>-ebből Közbiztonsági, katasztrófavédelmi alap</t>
  </si>
  <si>
    <t>-ebből Egészségügyi fejlesztési alap</t>
  </si>
  <si>
    <t>Hitelösszeg</t>
  </si>
  <si>
    <t>OTP Bank 
fejlesztési hitel</t>
  </si>
  <si>
    <t>Tulajdonosi bevételek</t>
  </si>
  <si>
    <t>Budakeszi városközpont ingatla felvásárlások</t>
  </si>
  <si>
    <t>Mosolyvár Bölcsőde bővítés
VEKOP-6.1.1-15-PT1-2016-00114</t>
  </si>
  <si>
    <t>Közlekedésfejlesztési pályázat
VEKOP-5.3.2-15-2016-00032</t>
  </si>
  <si>
    <t>PM_Csapadékvíz pályázat</t>
  </si>
  <si>
    <t>Nagy Gáspár Alapítvány támogatás</t>
  </si>
  <si>
    <t>-ebből egyéb központi kezelésű előirányzattól átvett támogatások B16</t>
  </si>
  <si>
    <t>Egészséges Budapest Program eszközfejlesztés</t>
  </si>
  <si>
    <t>Budakeszi Város Német Önkormámyzat támogatása</t>
  </si>
  <si>
    <t>ebből működési táámogatás</t>
  </si>
  <si>
    <t>ebből Tájház működési támogatása</t>
  </si>
  <si>
    <t>-ebből egyéb fejezettől átvett támogatások</t>
  </si>
  <si>
    <t>Budakeszi Egészségügyi Központ</t>
  </si>
  <si>
    <t>074031 
Család és nővédelmi egészségügyi gondozás</t>
  </si>
  <si>
    <t>072210 
Járóbetegek gyógyító szakellátása</t>
  </si>
  <si>
    <t>ebből Tarkabarka Kunterbunt Óvoda támogatása</t>
  </si>
  <si>
    <t>Budakörnyéki Önkormányzati Társulásnak átadott pénzeszközök</t>
  </si>
  <si>
    <t>ebből tagdíj</t>
  </si>
  <si>
    <t>ebből orvosi ügyelet éves díj</t>
  </si>
  <si>
    <t>ebből HÍD finanszírozás</t>
  </si>
  <si>
    <t>ebből Közterület-felügyelet finanszírozás</t>
  </si>
  <si>
    <t>a</t>
  </si>
  <si>
    <t>b</t>
  </si>
  <si>
    <t>c</t>
  </si>
  <si>
    <t>d</t>
  </si>
  <si>
    <t>-ebből egyéb központi kezelésű előirányzattól átvett támogatások</t>
  </si>
  <si>
    <t>-ebből előleg 2017. évi folyósítás</t>
  </si>
  <si>
    <t>-ebből előleg 2018. évi folyósítás</t>
  </si>
  <si>
    <t>2020. évi összevont bevételei kiadásai kiemelt előirányzatonként</t>
  </si>
  <si>
    <t>2020. évi  bevételei kiadásai kiemelt előirányzatonként</t>
  </si>
  <si>
    <t>10.  melléklet az önkormányzat  2020. évi     költségvetéséről szóló  …./2020…….rendeletéhez</t>
  </si>
  <si>
    <t>Budakeszi Város Önkormányzat 2020. évi tartalékok részletezése</t>
  </si>
  <si>
    <t>Budakeszi Város Önkormányzatának 2020. évi működési célú pénzeszköz átadása államháztartáson kívülre, civil és egyéb szervezetek részére</t>
  </si>
  <si>
    <t xml:space="preserve">Budakeszi Város Önkormányzatának 2020. évi közvetett támogatásai </t>
  </si>
  <si>
    <t>Budakeszi Város Önkormányzat 2020. évre tervezett szociális ellátásainak részletezése</t>
  </si>
  <si>
    <t>Budakeszi  Város Önkormányzat és költségvetési szervei   engedélyezett létszámkerete 2020-ban</t>
  </si>
  <si>
    <t>Budakeszi Város Önkormányzat összesített 2020. évi működési  bevételei és kiadásai</t>
  </si>
  <si>
    <t>Budakeszi Város Önkormányzat összesített 2020. évi felhalmozási  bevételei és kiadásai</t>
  </si>
  <si>
    <t>Budakeszi Város Önkormányzatának 2020. évi bevételi előirányzat felhasználási ütemterve</t>
  </si>
  <si>
    <t>Budakeszi Város Önkormányzatának 2020. évi kiadási előirányzat felhasználási ütemterve</t>
  </si>
  <si>
    <t>2020.évi fejlesztések, beruházások</t>
  </si>
  <si>
    <t>24.  melléklet az önkormányzat  2020. évi     költségvetéséről szóló  …./2020…….rendeletéhez</t>
  </si>
  <si>
    <t>2020. eredeti előirányzat</t>
  </si>
  <si>
    <t>Vass Miklós Alapítvány támogatása</t>
  </si>
  <si>
    <t>Cserkész Dzsembori fiatalok támogatása</t>
  </si>
  <si>
    <t>Budakeszi Város Önkormányzatának 2020. évi működési célú pénzeszköz átadása államháztartáson belülre</t>
  </si>
  <si>
    <t>Patak utca terület rendezés kiegészítés (462/2019) - Önként</t>
  </si>
  <si>
    <t>Budakörnyéki Médiaszolgáltató támogatása</t>
  </si>
  <si>
    <t xml:space="preserve">3. </t>
  </si>
  <si>
    <t>A helyi önkormányzatok törvényi előíráson alapuló befizetései</t>
  </si>
  <si>
    <t>2018. évi elszámolás különbözet</t>
  </si>
  <si>
    <t>Államháztartáson belüli megelőlegezések visszafizetése</t>
  </si>
  <si>
    <t>2019. év előzetes teljesítés összesen:</t>
  </si>
  <si>
    <t>2018. év  teljesítés összesen:</t>
  </si>
  <si>
    <t xml:space="preserve">Budakeszi Egészségügyi Központ </t>
  </si>
  <si>
    <t>-főállású alpolgármester</t>
  </si>
  <si>
    <t>-védőnők (2020.03.01-ig)</t>
  </si>
  <si>
    <t>Budakeszi Egészségügyi Központ (2020.03.01-től)</t>
  </si>
  <si>
    <t>2020. évben várható bevételek</t>
  </si>
  <si>
    <t>Önrész 2020. évben</t>
  </si>
  <si>
    <t>A projekt kifizetésre került 2019-ben.</t>
  </si>
  <si>
    <t>Kiadások - 2020-ban esedékes</t>
  </si>
  <si>
    <t>Beruházás (bruttó érték)</t>
  </si>
  <si>
    <t>-ebből NEAKtól átvett támogatások</t>
  </si>
  <si>
    <t>-ebből fejezettől átvett támogatások</t>
  </si>
  <si>
    <t>-ebből központi kezelésű előirányzattól átvett támogatások</t>
  </si>
  <si>
    <t>Államháztartáson belüli megelőlegezések</t>
  </si>
  <si>
    <t>Beruhzás összértéke</t>
  </si>
  <si>
    <t>2</t>
  </si>
  <si>
    <t>Régi szennyvíztisztító telep bontása</t>
  </si>
  <si>
    <t>Régi szennyvíztisztító telep talajcsere</t>
  </si>
  <si>
    <t xml:space="preserve">Vállalkozói park projket </t>
  </si>
  <si>
    <t>5</t>
  </si>
  <si>
    <t>Budakeszi HRSZ 7908 út építése - Ipoly utca</t>
  </si>
  <si>
    <t>8</t>
  </si>
  <si>
    <t>PM_Piac pályázat Budakeszi piac felújítása</t>
  </si>
  <si>
    <t>Budakeszi-Farkashegyi repülőtér kerékpárút fejlesztése</t>
  </si>
  <si>
    <t>Budakeszi temető ravatalozó épület előtető</t>
  </si>
  <si>
    <t>Budakeszi Polgármesteri Hivatal légtechnika</t>
  </si>
  <si>
    <t>14</t>
  </si>
  <si>
    <t>Budakeszi Polgármesteri Hivatal eszközbeszerzések</t>
  </si>
  <si>
    <t>-ebből NEAK-tól átvett támogatások</t>
  </si>
  <si>
    <t>1.53</t>
  </si>
  <si>
    <t>Elszámolásból adódó befizetési kötelzettségek</t>
  </si>
  <si>
    <t xml:space="preserve">Fejlesztési hitel
</t>
  </si>
  <si>
    <t>2020.
tárgyév</t>
  </si>
  <si>
    <t>2021.
tárgyévet követő 
1. év</t>
  </si>
  <si>
    <t>2022.
tárgyévet követő 
2. év</t>
  </si>
  <si>
    <t>2023.
tárgyévet követő 
3. év</t>
  </si>
  <si>
    <t>2024.
tárgyévet követő 
4. év</t>
  </si>
  <si>
    <t>2025.
tárgyévet követő 
5. év</t>
  </si>
  <si>
    <t>2026.
tárgyévet követő 
6. év</t>
  </si>
  <si>
    <t>2027.
tárgyévet követő 
7. év</t>
  </si>
  <si>
    <t>2028.-2031.
tárgyévet követő 
7. évet követően</t>
  </si>
  <si>
    <t>2024-2031</t>
  </si>
  <si>
    <t>Egyéb nem intézményi juttatások</t>
  </si>
  <si>
    <t>Budakeszi Város Önkormányzatának 2020. évi hitel törlesztéssel kapcsolatos kötelezettségei</t>
  </si>
  <si>
    <t>074031
Védőnői szolgálat</t>
  </si>
  <si>
    <t>Államházt. belüli megelőleg visszafiz.</t>
  </si>
  <si>
    <t xml:space="preserve"> Iparűzési adóból 
 ( 600eFt alatti iparűzési adóalap alatt, eü szolgáltatók )</t>
  </si>
  <si>
    <t>Fejlesztési projektek kivitelezése</t>
  </si>
  <si>
    <t>Mezei Mária ház felújítása</t>
  </si>
  <si>
    <t>adatok Ft-ban</t>
  </si>
  <si>
    <t>BVV Kft. Új telephelyre költöztetése</t>
  </si>
  <si>
    <t>2020. január 1-én költségvetési létszám 
(fő - 8 óra munkaidőre vetítve)</t>
  </si>
  <si>
    <t>Kieső bevételek</t>
  </si>
  <si>
    <t>Gépjármű adó</t>
  </si>
  <si>
    <t>2020. év</t>
  </si>
  <si>
    <t>1-3 hónap tény</t>
  </si>
  <si>
    <t>Kétséges bevételek</t>
  </si>
  <si>
    <t>Ingatlan értékesítések</t>
  </si>
  <si>
    <t>Településrendezési szerz.</t>
  </si>
  <si>
    <t>EREDETI</t>
  </si>
  <si>
    <t>MÓDOSÍTOTT - TERV</t>
  </si>
  <si>
    <t>Megjegyzés</t>
  </si>
  <si>
    <t>Új orvosi rendelő építés</t>
  </si>
  <si>
    <t>HITEL</t>
  </si>
  <si>
    <t>Mivel a hitelszerződésben tárgyként az fog szerepelni, hogy az Önkorm. Által a költségvetési rendeletben meghat fejlesztések, így ez megvalósíthtó.</t>
  </si>
  <si>
    <t>Jövő évre át kellene tenni</t>
  </si>
  <si>
    <t>Átcsoportosítva orvosi rendelőre</t>
  </si>
  <si>
    <t>2020. év 
kötelező feladat
eredeti ei.</t>
  </si>
  <si>
    <t>2020. év 
önként vállalt feladat
eredeti ei.</t>
  </si>
  <si>
    <t>2020. év 
állami feladat
eredeti ei.</t>
  </si>
  <si>
    <t>2020. év összesen
eredeti ei.</t>
  </si>
  <si>
    <t>2020. év 
kötelező feladat
módosított ei.</t>
  </si>
  <si>
    <t>2020. év 
önként vállalt feladat
módosított ei.</t>
  </si>
  <si>
    <t>2020. év 
állami feladat
módosított ei.</t>
  </si>
  <si>
    <t>2020. év összesen
módosított ei.</t>
  </si>
  <si>
    <t>Egyéb működési kiadások - maradvány elvonás</t>
  </si>
  <si>
    <t xml:space="preserve">Fejlesztési célú hitel, kölcsönfelvétel államháztartáson kívülről </t>
  </si>
  <si>
    <t xml:space="preserve">Likviditási célú hitel, kölcsönfelvétel államháztartáson kívülről </t>
  </si>
  <si>
    <t>Fejlesztési célú hitel, kölcsön törlesztése államháztartáson kívülre</t>
  </si>
  <si>
    <t>Likviditási célú hitel, kölcsön törlesztése államháztartáson kívülre</t>
  </si>
  <si>
    <t>2020. módosított előirányzat</t>
  </si>
  <si>
    <t>Eredeti felvett hitelösszeg</t>
  </si>
  <si>
    <t>OTP Bank Fejlesztési hitel II. - eng. 2020</t>
  </si>
  <si>
    <t>OTP Bank fejlesztési hitel - I. eng: 2016</t>
  </si>
  <si>
    <t>-ebből elszámolásból adódó befizetési kötelzettségek</t>
  </si>
  <si>
    <t>-ebből NEAKtól átvett támogatások B16</t>
  </si>
  <si>
    <t>2019. év teljesítés összesen:</t>
  </si>
  <si>
    <t>2020. év I. félév előzetes teljesítés összesen: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</si>
  <si>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</si>
  <si>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</si>
  <si>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</si>
  <si>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</si>
  <si>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</si>
  <si>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</si>
  <si>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</si>
  <si>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</si>
  <si>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</si>
  <si>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</si>
  <si>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</si>
  <si>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</si>
  <si>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</si>
  <si>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</si>
  <si>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</si>
  <si>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</si>
  <si>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</si>
  <si>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</si>
  <si>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</si>
  <si>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</si>
  <si>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</si>
  <si>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</si>
  <si>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</si>
  <si>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Kimutataás 2020. évben vállalt következő évet érintő kötelezettségekről</t>
  </si>
  <si>
    <t>Makkosmária csapadékvíz elvezetési projekt megvalósítás</t>
  </si>
  <si>
    <t>OTP Bank fejlesztési hitelek</t>
  </si>
  <si>
    <t>2018, 2020</t>
  </si>
  <si>
    <t>Bursa Hungarica ösztöndíj</t>
  </si>
  <si>
    <t>PM Vállpark pályázat megvalósítás</t>
  </si>
  <si>
    <t>2020. évi teljesítés várható</t>
  </si>
  <si>
    <t>210/2020. (VII.08.) Kt. határozata az „Önkormányzati feladatellátást szolgáló fejlesztések támogatása” - utak, járdák felújítása alcélú - pályázaton való részvételről - önerő</t>
  </si>
  <si>
    <t>Kossuth köz vis maior pályázat - önerő</t>
  </si>
  <si>
    <t>K</t>
  </si>
  <si>
    <t>L</t>
  </si>
  <si>
    <t>M</t>
  </si>
  <si>
    <t>N</t>
  </si>
  <si>
    <t>Fennálló bevétel a következő években</t>
  </si>
  <si>
    <t>O=(K+…+N)</t>
  </si>
  <si>
    <t>Ingatlan felvásárlások (Városközpont, Makkosi csapadékvíz miatti)</t>
  </si>
  <si>
    <t>A fejlesztés forrása Beruházási hitel</t>
  </si>
  <si>
    <t>Vállalkozói park projeket 2020-ban valószínűleg megvalósuló ütem</t>
  </si>
  <si>
    <t>7a</t>
  </si>
  <si>
    <t>A megvalósításnak megfelelően szétválasztára került a megvalósuló Patak utcai útfelújítás és a csapadékvíz építés</t>
  </si>
  <si>
    <t>7b</t>
  </si>
  <si>
    <t>Kett utca útfelújítás</t>
  </si>
  <si>
    <t>7c</t>
  </si>
  <si>
    <t>PM_Csapadékvíz pályázat közbeszrzés szerinti I. ütem - önrész - fejl. Hitel -+Patak utca szükséges közmű kiváltás</t>
  </si>
  <si>
    <t>Budakeszi Fő utc ivóvíz hálózat bővítés</t>
  </si>
  <si>
    <t>Új orvosi rendelő eszköz beszerzés</t>
  </si>
  <si>
    <t>Sportpark és futókör önrész</t>
  </si>
  <si>
    <t>17</t>
  </si>
  <si>
    <t>Bringapark kialakítása</t>
  </si>
  <si>
    <t>18</t>
  </si>
  <si>
    <t>19</t>
  </si>
  <si>
    <t>20</t>
  </si>
  <si>
    <t>Intézmények eszközbeszerzései</t>
  </si>
  <si>
    <t>Intézmények</t>
  </si>
  <si>
    <t>Fejlesztési hitellel érintett bruházások</t>
  </si>
  <si>
    <t>Hitelek kölcsönök felvétele</t>
  </si>
  <si>
    <t>Finanszírozás</t>
  </si>
  <si>
    <t>FINANSZ. NÉLKÜL MINDÖSSZESEN:</t>
  </si>
  <si>
    <t>1.  melléklet az önkormányzat  2020. évi  költségvetéséről szóló 5/2020 (II.18.) rendeletéhez</t>
  </si>
  <si>
    <t>3.  melléklet az önkormányzat  2020. évi     költségvetéséről szóló  5/2020 (II.18.) rendeletéhez</t>
  </si>
  <si>
    <t>4.  melléklet az önkormányzat  2020. évi     költségvetéséről szóló  5/2020 (II.18.) rendeletéhez</t>
  </si>
  <si>
    <t>5.  melléklet az önkormányzat  2020. évi     költségvetéséről szóló 5/2020 (II.18.) rendeletéhez</t>
  </si>
  <si>
    <t>6.  melléklet az önkormányzat  2020. évi     költségvetéséről szóló  5/2020 (II.18.) rendeletéhez</t>
  </si>
  <si>
    <t>7.  melléklet az önkormányzat  2020. évi     költségvetéséről szóló  5/2020 (II.18.) rendeletéhez</t>
  </si>
  <si>
    <t>8.  melléklet az önkormányzat  2020. évi     költségvetéséről szóló  5/2020 (II.18.) rendeletéhez</t>
  </si>
  <si>
    <t>9.  melléklet az önkormányzat  2020. évi     költségvetéséről szóló  5/2020 (II.18.) rendeletéhez</t>
  </si>
  <si>
    <t>11. melléklet az önkormányzat 2020. évi költségvetéséről szóló  5/2020 (II.18.) rendeletéhez</t>
  </si>
  <si>
    <t>12. melléklet az önkormányzat 2020. évi költségvetéséről szóló  5/2020 (II.18.) rendeletéhez</t>
  </si>
  <si>
    <t>13. melléklet az önkormányzat  2020.évi költségvetéséről szóló 5/2020 (II.18.) rendeletéhez</t>
  </si>
  <si>
    <t>14/a.  melléklet az önkormányzat  2020. évi költségvetéséről szóló 5/2020 (II.18.) rendeletéhez</t>
  </si>
  <si>
    <t>14/b.  melléklet az önkormányzat  2020. évi költségvetéséről szóló 5/2020 (II.18.) rendeletéhez</t>
  </si>
  <si>
    <t>15. melléklet az önkormányzat  2020. évi költségvetéséről szóló  5/2020 (II.18.) rendeletéhez</t>
  </si>
  <si>
    <t>16. melléklet az önkormányzat  2020. évi költségvetéséről szóló 5/2020 (II.18.) rendeletéhez</t>
  </si>
  <si>
    <t>17. melléklet az önkormányzat  2020. évi költségvetéséről szóló 5/2020 (II.18.) rendeletéhez</t>
  </si>
  <si>
    <t>18. melléklet az önkormányzat  2020. évi költségvetéséről szóló  5/2020 (II.18.) rendeletéhez</t>
  </si>
  <si>
    <t>19. melléklet az önkormányzat 2020. évi költségvetéséről  szóló 5/2020 (II.18.) rendeletéhez</t>
  </si>
  <si>
    <t>20. melléklet az önkormányzat 2020. évi költségvetéséről  szóló 5/2020 (II.18.) rendeletéhez</t>
  </si>
  <si>
    <t>21. melléklet az önkormányzat 2020. évi költségvetéséről szóló 5/2020 (II.18.) rendeletéhez</t>
  </si>
  <si>
    <t>22. melléklet az önkormányzat 2020.  évi költségvetéséről szóló 5/2020 (II.18.) rendeletéhez</t>
  </si>
  <si>
    <t>23. melléklet az önkormányzat 2020.  évi költségvetéséről szóló 5/2020 (II.18.) rendeletéhez</t>
  </si>
  <si>
    <t>25. melléklet az önkormányzat 2020.  évi költségvetéséről szóló 5/2020 (II.18.) rendeletéhez</t>
  </si>
  <si>
    <t>2. számú melléklet</t>
  </si>
  <si>
    <t>2.  sz. melléklet az önkormányzat  2020. évi költségvetéséről szóló 5/2020 (II.18.) rendeletéhez</t>
  </si>
  <si>
    <t>1. sz. melléklet</t>
  </si>
  <si>
    <t>10. sz. melléklet</t>
  </si>
  <si>
    <t>3. sz. melléklet</t>
  </si>
  <si>
    <t>4. sz. melléklet</t>
  </si>
  <si>
    <t>5. sz. melléklet</t>
  </si>
  <si>
    <t>6. sz. melléklet</t>
  </si>
  <si>
    <t>8. sz. melléklet</t>
  </si>
  <si>
    <t>7. sz. melléklet</t>
  </si>
  <si>
    <t>9. sz. melléklet</t>
  </si>
  <si>
    <t>11. sz. melléklet</t>
  </si>
  <si>
    <t>12. sz. melléklet</t>
  </si>
  <si>
    <t>13. sz. melléklet</t>
  </si>
  <si>
    <t>14/a. sz. melléklet</t>
  </si>
  <si>
    <t>14/b. sz. melléklet</t>
  </si>
  <si>
    <t>15. sz. melléklet</t>
  </si>
  <si>
    <t>16. sz. melléklet</t>
  </si>
  <si>
    <t>17. sz. melléklet</t>
  </si>
  <si>
    <t>18. sz. melléklet</t>
  </si>
  <si>
    <t>19. sz. melléklet</t>
  </si>
  <si>
    <t>23. sz. melléklet</t>
  </si>
  <si>
    <t>24. sz. melléklet</t>
  </si>
  <si>
    <t>20.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</si>
</sst>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.0"/>
    <numFmt numFmtId="166" formatCode="_-* #,##0\ _F_t_-;\-* #,##0\ _F_t_-;_-* &quot;-&quot;??\ _F_t_-;_-@_-"/>
    <numFmt numFmtId="167" formatCode="0&quot;.&quot;"/>
    <numFmt numFmtId="169" formatCode="_-* #,##0.0\ _F_t_-;\-* #,##0.0\ _F_t_-;_-* &quot;-&quot;??\ _F_t_-;_-@_-"/>
    <numFmt numFmtId="170" formatCode="#,###"/>
    <numFmt numFmtId="171" formatCode="#,##0_ ;\-#,##0\ 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7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74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2" fontId="0" fillId="0" borderId="0" xfId="0" applyNumberFormat="1" applyFont="1" applyAlignment="1">
      <alignment vertical="center" wrapText="1"/>
    </xf>
    <xf numFmtId="3" fontId="0" fillId="0" borderId="0" xfId="0" applyNumberForma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/>
    <xf numFmtId="3" fontId="0" fillId="0" borderId="0" xfId="0" applyNumberFormat="1" applyBorder="1"/>
    <xf numFmtId="49" fontId="5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/>
    <xf numFmtId="0" fontId="0" fillId="0" borderId="0" xfId="0" applyFill="1" applyBorder="1"/>
    <xf numFmtId="0" fontId="11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3" fontId="9" fillId="0" borderId="0" xfId="0" applyNumberFormat="1" applyFont="1" applyFill="1" applyBorder="1"/>
    <xf numFmtId="0" fontId="11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0" fontId="12" fillId="0" borderId="0" xfId="0" applyFont="1"/>
    <xf numFmtId="49" fontId="9" fillId="0" borderId="1" xfId="0" applyNumberFormat="1" applyFont="1" applyBorder="1"/>
    <xf numFmtId="0" fontId="12" fillId="0" borderId="0" xfId="0" applyFont="1" applyAlignment="1">
      <alignment horizontal="right"/>
    </xf>
    <xf numFmtId="3" fontId="14" fillId="0" borderId="0" xfId="0" applyNumberFormat="1" applyFont="1" applyBorder="1"/>
    <xf numFmtId="0" fontId="0" fillId="0" borderId="0" xfId="0" applyFont="1" applyBorder="1"/>
    <xf numFmtId="3" fontId="13" fillId="0" borderId="0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3" fontId="11" fillId="0" borderId="0" xfId="0" applyNumberFormat="1" applyFont="1" applyBorder="1"/>
    <xf numFmtId="49" fontId="9" fillId="0" borderId="0" xfId="0" applyNumberFormat="1" applyFont="1" applyBorder="1" applyAlignment="1">
      <alignment wrapText="1"/>
    </xf>
    <xf numFmtId="3" fontId="9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3" fontId="12" fillId="0" borderId="0" xfId="0" applyNumberFormat="1" applyFont="1" applyBorder="1"/>
    <xf numFmtId="0" fontId="9" fillId="0" borderId="0" xfId="0" applyFont="1"/>
    <xf numFmtId="3" fontId="9" fillId="0" borderId="1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0" xfId="0" applyFont="1" applyBorder="1"/>
    <xf numFmtId="0" fontId="1" fillId="0" borderId="0" xfId="0" applyFont="1" applyBorder="1"/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1" xfId="0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/>
    <xf numFmtId="3" fontId="14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7" fillId="0" borderId="1" xfId="0" applyFont="1" applyBorder="1"/>
    <xf numFmtId="3" fontId="16" fillId="0" borderId="1" xfId="0" applyNumberFormat="1" applyFont="1" applyBorder="1"/>
    <xf numFmtId="3" fontId="17" fillId="0" borderId="1" xfId="0" applyNumberFormat="1" applyFont="1" applyBorder="1"/>
    <xf numFmtId="3" fontId="11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/>
    <xf numFmtId="49" fontId="11" fillId="0" borderId="1" xfId="0" applyNumberFormat="1" applyFont="1" applyBorder="1"/>
    <xf numFmtId="0" fontId="16" fillId="0" borderId="1" xfId="0" applyFont="1" applyBorder="1" applyAlignment="1">
      <alignment horizontal="center"/>
    </xf>
    <xf numFmtId="3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wrapText="1"/>
    </xf>
    <xf numFmtId="3" fontId="16" fillId="0" borderId="0" xfId="0" applyNumberFormat="1" applyFont="1" applyBorder="1"/>
    <xf numFmtId="0" fontId="17" fillId="0" borderId="0" xfId="0" applyFont="1" applyBorder="1" applyAlignment="1">
      <alignment wrapText="1"/>
    </xf>
    <xf numFmtId="3" fontId="17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3" fontId="12" fillId="0" borderId="0" xfId="0" applyNumberFormat="1" applyFont="1" applyBorder="1" applyAlignment="1"/>
    <xf numFmtId="3" fontId="20" fillId="2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3" fontId="16" fillId="0" borderId="1" xfId="0" applyNumberFormat="1" applyFont="1" applyBorder="1" applyAlignment="1"/>
    <xf numFmtId="3" fontId="7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" fontId="9" fillId="2" borderId="1" xfId="0" applyNumberFormat="1" applyFont="1" applyFill="1" applyBorder="1"/>
    <xf numFmtId="0" fontId="19" fillId="0" borderId="0" xfId="0" applyFont="1" applyAlignment="1">
      <alignment horizontal="center" wrapText="1"/>
    </xf>
    <xf numFmtId="0" fontId="0" fillId="0" borderId="6" xfId="0" applyBorder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0" fontId="10" fillId="0" borderId="0" xfId="0" applyFont="1" applyBorder="1" applyAlignment="1">
      <alignment horizontal="center" wrapText="1"/>
    </xf>
    <xf numFmtId="3" fontId="17" fillId="0" borderId="1" xfId="0" applyNumberFormat="1" applyFont="1" applyBorder="1" applyAlignment="1"/>
    <xf numFmtId="3" fontId="11" fillId="0" borderId="5" xfId="0" applyNumberFormat="1" applyFont="1" applyBorder="1"/>
    <xf numFmtId="0" fontId="0" fillId="0" borderId="1" xfId="0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3" fontId="0" fillId="0" borderId="0" xfId="0" applyNumberFormat="1" applyFill="1" applyBorder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0" fontId="9" fillId="0" borderId="1" xfId="0" applyFont="1" applyBorder="1"/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/>
    <xf numFmtId="165" fontId="9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16" fillId="0" borderId="1" xfId="0" applyFont="1" applyBorder="1"/>
    <xf numFmtId="0" fontId="11" fillId="0" borderId="1" xfId="0" applyFont="1" applyBorder="1"/>
    <xf numFmtId="165" fontId="1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9" fillId="0" borderId="0" xfId="0" applyFont="1" applyBorder="1" applyAlignment="1"/>
    <xf numFmtId="49" fontId="22" fillId="0" borderId="1" xfId="0" applyNumberFormat="1" applyFont="1" applyBorder="1" applyAlignment="1">
      <alignment wrapText="1"/>
    </xf>
    <xf numFmtId="3" fontId="22" fillId="0" borderId="1" xfId="0" applyNumberFormat="1" applyFont="1" applyBorder="1"/>
    <xf numFmtId="3" fontId="24" fillId="0" borderId="1" xfId="0" applyNumberFormat="1" applyFont="1" applyBorder="1"/>
    <xf numFmtId="0" fontId="15" fillId="0" borderId="1" xfId="0" applyFont="1" applyBorder="1"/>
    <xf numFmtId="3" fontId="11" fillId="0" borderId="1" xfId="0" applyNumberFormat="1" applyFont="1" applyFill="1" applyBorder="1"/>
    <xf numFmtId="0" fontId="16" fillId="0" borderId="5" xfId="0" applyFont="1" applyBorder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9" xfId="0" applyNumberFormat="1" applyFont="1" applyFill="1" applyBorder="1"/>
    <xf numFmtId="3" fontId="16" fillId="0" borderId="9" xfId="0" applyNumberFormat="1" applyFont="1" applyFill="1" applyBorder="1"/>
    <xf numFmtId="0" fontId="15" fillId="0" borderId="0" xfId="0" applyFont="1"/>
    <xf numFmtId="0" fontId="0" fillId="0" borderId="0" xfId="0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/>
    <xf numFmtId="49" fontId="9" fillId="0" borderId="5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3" fontId="9" fillId="0" borderId="4" xfId="0" applyNumberFormat="1" applyFont="1" applyBorder="1"/>
    <xf numFmtId="3" fontId="16" fillId="0" borderId="10" xfId="0" applyNumberFormat="1" applyFont="1" applyBorder="1"/>
    <xf numFmtId="3" fontId="12" fillId="0" borderId="10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3" fontId="11" fillId="0" borderId="11" xfId="0" applyNumberFormat="1" applyFont="1" applyBorder="1"/>
    <xf numFmtId="3" fontId="9" fillId="0" borderId="10" xfId="0" applyNumberFormat="1" applyFont="1" applyBorder="1"/>
    <xf numFmtId="3" fontId="11" fillId="0" borderId="14" xfId="0" applyNumberFormat="1" applyFont="1" applyBorder="1"/>
    <xf numFmtId="3" fontId="11" fillId="0" borderId="10" xfId="0" applyNumberFormat="1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wrapText="1"/>
    </xf>
    <xf numFmtId="0" fontId="0" fillId="0" borderId="18" xfId="0" applyBorder="1"/>
    <xf numFmtId="49" fontId="11" fillId="0" borderId="14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3" fontId="16" fillId="0" borderId="20" xfId="0" applyNumberFormat="1" applyFont="1" applyBorder="1"/>
    <xf numFmtId="3" fontId="9" fillId="0" borderId="8" xfId="0" applyNumberFormat="1" applyFont="1" applyBorder="1"/>
    <xf numFmtId="3" fontId="9" fillId="0" borderId="22" xfId="0" applyNumberFormat="1" applyFont="1" applyBorder="1"/>
    <xf numFmtId="3" fontId="11" fillId="0" borderId="21" xfId="0" applyNumberFormat="1" applyFont="1" applyBorder="1"/>
    <xf numFmtId="3" fontId="9" fillId="0" borderId="20" xfId="0" applyNumberFormat="1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 wrapText="1"/>
    </xf>
    <xf numFmtId="3" fontId="16" fillId="0" borderId="20" xfId="0" applyNumberFormat="1" applyFont="1" applyBorder="1" applyAlignment="1"/>
    <xf numFmtId="3" fontId="12" fillId="0" borderId="20" xfId="0" applyNumberFormat="1" applyFont="1" applyBorder="1"/>
    <xf numFmtId="3" fontId="16" fillId="0" borderId="8" xfId="0" applyNumberFormat="1" applyFont="1" applyBorder="1" applyAlignment="1"/>
    <xf numFmtId="0" fontId="12" fillId="0" borderId="1" xfId="7" applyNumberFormat="1" applyFont="1" applyBorder="1"/>
    <xf numFmtId="165" fontId="11" fillId="0" borderId="1" xfId="0" applyNumberFormat="1" applyFont="1" applyFill="1" applyBorder="1"/>
    <xf numFmtId="49" fontId="9" fillId="0" borderId="5" xfId="0" applyNumberFormat="1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1" xfId="6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Border="1"/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3" fontId="27" fillId="0" borderId="1" xfId="0" applyNumberFormat="1" applyFont="1" applyFill="1" applyBorder="1"/>
    <xf numFmtId="3" fontId="27" fillId="0" borderId="1" xfId="0" applyNumberFormat="1" applyFont="1" applyBorder="1"/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/>
    <xf numFmtId="167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29" fillId="0" borderId="1" xfId="8" applyFont="1" applyBorder="1" applyAlignment="1" applyProtection="1">
      <alignment vertical="center"/>
      <protection locked="0" hidden="1"/>
    </xf>
    <xf numFmtId="49" fontId="9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9" fillId="0" borderId="1" xfId="6" applyFont="1" applyBorder="1" applyAlignment="1" applyProtection="1">
      <alignment horizontal="right" vertical="center" wrapText="1" indent="1"/>
      <protection locked="0" hidden="1"/>
    </xf>
    <xf numFmtId="169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29" fillId="0" borderId="1" xfId="0" applyFont="1" applyBorder="1" applyAlignment="1" applyProtection="1">
      <alignment horizontal="justify" vertical="center" wrapText="1"/>
      <protection locked="0" hidden="1"/>
    </xf>
    <xf numFmtId="0" fontId="29" fillId="0" borderId="1" xfId="0" applyFont="1" applyBorder="1" applyAlignment="1" applyProtection="1">
      <alignment vertical="center" wrapText="1"/>
      <protection locked="0" hidden="1"/>
    </xf>
    <xf numFmtId="0" fontId="11" fillId="0" borderId="1" xfId="0" applyFont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left" vertical="center" wrapText="1"/>
      <protection locked="0" hidden="1"/>
    </xf>
    <xf numFmtId="165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5" fillId="0" borderId="1" xfId="0" applyNumberFormat="1" applyFont="1" applyBorder="1" applyAlignment="1">
      <alignment vertical="center"/>
    </xf>
    <xf numFmtId="1" fontId="0" fillId="0" borderId="0" xfId="0" applyNumberFormat="1"/>
    <xf numFmtId="3" fontId="19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/>
    <xf numFmtId="3" fontId="9" fillId="0" borderId="1" xfId="0" applyNumberFormat="1" applyFont="1" applyBorder="1" applyAlignment="1"/>
    <xf numFmtId="3" fontId="17" fillId="0" borderId="15" xfId="0" applyNumberFormat="1" applyFont="1" applyBorder="1"/>
    <xf numFmtId="0" fontId="11" fillId="0" borderId="32" xfId="0" applyFont="1" applyBorder="1" applyAlignment="1">
      <alignment horizontal="center" vertical="center" wrapText="1"/>
    </xf>
    <xf numFmtId="3" fontId="9" fillId="0" borderId="33" xfId="0" applyNumberFormat="1" applyFont="1" applyBorder="1"/>
    <xf numFmtId="3" fontId="11" fillId="0" borderId="34" xfId="0" applyNumberFormat="1" applyFont="1" applyBorder="1"/>
    <xf numFmtId="3" fontId="24" fillId="0" borderId="1" xfId="0" applyNumberFormat="1" applyFont="1" applyFill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/>
    </xf>
    <xf numFmtId="3" fontId="7" fillId="0" borderId="1" xfId="0" applyNumberFormat="1" applyFont="1" applyFill="1" applyBorder="1"/>
    <xf numFmtId="0" fontId="18" fillId="0" borderId="1" xfId="0" applyFont="1" applyBorder="1"/>
    <xf numFmtId="49" fontId="1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22" fillId="0" borderId="0" xfId="0" applyFont="1" applyFill="1" applyBorder="1" applyAlignment="1">
      <alignment vertical="center"/>
    </xf>
    <xf numFmtId="3" fontId="10" fillId="0" borderId="8" xfId="0" applyNumberFormat="1" applyFont="1" applyBorder="1"/>
    <xf numFmtId="3" fontId="27" fillId="0" borderId="8" xfId="0" applyNumberFormat="1" applyFont="1" applyFill="1" applyBorder="1"/>
    <xf numFmtId="3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Border="1" applyAlignment="1">
      <alignment vertical="center" wrapText="1"/>
    </xf>
    <xf numFmtId="0" fontId="30" fillId="0" borderId="0" xfId="0" applyFont="1"/>
    <xf numFmtId="49" fontId="30" fillId="0" borderId="0" xfId="0" applyNumberFormat="1" applyFont="1" applyBorder="1"/>
    <xf numFmtId="0" fontId="30" fillId="0" borderId="0" xfId="0" applyFont="1" applyBorder="1"/>
    <xf numFmtId="0" fontId="22" fillId="0" borderId="0" xfId="0" applyFont="1" applyBorder="1"/>
    <xf numFmtId="3" fontId="22" fillId="0" borderId="0" xfId="0" applyNumberFormat="1" applyFont="1" applyBorder="1"/>
    <xf numFmtId="0" fontId="1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17" fillId="0" borderId="15" xfId="0" applyNumberFormat="1" applyFont="1" applyBorder="1" applyAlignment="1"/>
    <xf numFmtId="3" fontId="12" fillId="0" borderId="22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12" fillId="0" borderId="16" xfId="0" applyNumberFormat="1" applyFont="1" applyBorder="1"/>
    <xf numFmtId="3" fontId="16" fillId="0" borderId="33" xfId="0" applyNumberFormat="1" applyFont="1" applyBorder="1" applyAlignment="1"/>
    <xf numFmtId="0" fontId="23" fillId="0" borderId="0" xfId="0" applyFont="1" applyFill="1"/>
    <xf numFmtId="0" fontId="23" fillId="0" borderId="0" xfId="0" applyFont="1"/>
    <xf numFmtId="0" fontId="23" fillId="0" borderId="1" xfId="0" applyFont="1" applyBorder="1"/>
    <xf numFmtId="0" fontId="23" fillId="0" borderId="1" xfId="0" applyFont="1" applyFill="1" applyBorder="1"/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9" fillId="0" borderId="31" xfId="0" applyNumberFormat="1" applyFont="1" applyBorder="1" applyAlignment="1">
      <alignment vertical="center"/>
    </xf>
    <xf numFmtId="3" fontId="9" fillId="0" borderId="15" xfId="0" applyNumberFormat="1" applyFont="1" applyBorder="1"/>
    <xf numFmtId="3" fontId="9" fillId="0" borderId="5" xfId="0" applyNumberFormat="1" applyFont="1" applyBorder="1"/>
    <xf numFmtId="3" fontId="12" fillId="0" borderId="5" xfId="0" applyNumberFormat="1" applyFont="1" applyBorder="1"/>
    <xf numFmtId="3" fontId="0" fillId="0" borderId="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wrapText="1"/>
    </xf>
    <xf numFmtId="165" fontId="11" fillId="0" borderId="3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0" fillId="0" borderId="0" xfId="6" applyFont="1"/>
    <xf numFmtId="164" fontId="0" fillId="0" borderId="0" xfId="6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left" indent="1"/>
    </xf>
    <xf numFmtId="0" fontId="15" fillId="0" borderId="1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3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49" fontId="11" fillId="0" borderId="1" xfId="0" applyNumberFormat="1" applyFont="1" applyBorder="1" applyAlignment="1">
      <alignment horizontal="lef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/>
    <xf numFmtId="0" fontId="10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6" applyFont="1" applyBorder="1" applyAlignment="1">
      <alignment horizontal="center"/>
    </xf>
    <xf numFmtId="164" fontId="9" fillId="0" borderId="1" xfId="6" applyFont="1" applyBorder="1" applyAlignment="1">
      <alignment wrapText="1"/>
    </xf>
    <xf numFmtId="164" fontId="12" fillId="0" borderId="1" xfId="6" applyFont="1" applyBorder="1"/>
    <xf numFmtId="164" fontId="9" fillId="0" borderId="1" xfId="6" applyFont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wrapText="1"/>
    </xf>
    <xf numFmtId="3" fontId="12" fillId="0" borderId="1" xfId="0" applyNumberFormat="1" applyFont="1" applyFill="1" applyBorder="1"/>
    <xf numFmtId="3" fontId="9" fillId="0" borderId="1" xfId="0" applyNumberFormat="1" applyFont="1" applyFill="1" applyBorder="1"/>
    <xf numFmtId="49" fontId="16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" fontId="9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49" fontId="16" fillId="0" borderId="1" xfId="0" applyNumberFormat="1" applyFont="1" applyFill="1" applyBorder="1" applyAlignment="1">
      <alignment wrapText="1"/>
    </xf>
    <xf numFmtId="3" fontId="16" fillId="0" borderId="1" xfId="0" applyNumberFormat="1" applyFont="1" applyFill="1" applyBorder="1"/>
    <xf numFmtId="3" fontId="0" fillId="0" borderId="1" xfId="0" applyNumberFormat="1" applyFill="1" applyBorder="1"/>
    <xf numFmtId="170" fontId="32" fillId="0" borderId="36" xfId="0" applyNumberFormat="1" applyFont="1" applyBorder="1" applyAlignment="1">
      <alignment horizontal="centerContinuous" vertical="center"/>
    </xf>
    <xf numFmtId="170" fontId="32" fillId="0" borderId="37" xfId="0" applyNumberFormat="1" applyFont="1" applyBorder="1" applyAlignment="1">
      <alignment horizontal="centerContinuous" vertical="center"/>
    </xf>
    <xf numFmtId="170" fontId="32" fillId="0" borderId="38" xfId="0" applyNumberFormat="1" applyFont="1" applyBorder="1" applyAlignment="1">
      <alignment horizontal="centerContinuous" vertical="center"/>
    </xf>
    <xf numFmtId="0" fontId="32" fillId="0" borderId="4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70" fontId="32" fillId="0" borderId="43" xfId="0" applyNumberFormat="1" applyFont="1" applyBorder="1" applyAlignment="1">
      <alignment horizontal="center" vertical="center" wrapText="1"/>
    </xf>
    <xf numFmtId="170" fontId="32" fillId="0" borderId="25" xfId="0" applyNumberFormat="1" applyFont="1" applyBorder="1" applyAlignment="1">
      <alignment horizontal="center" vertical="center" wrapText="1"/>
    </xf>
    <xf numFmtId="170" fontId="32" fillId="0" borderId="24" xfId="0" applyNumberFormat="1" applyFont="1" applyBorder="1" applyAlignment="1">
      <alignment horizontal="center" vertical="center" wrapText="1"/>
    </xf>
    <xf numFmtId="170" fontId="32" fillId="0" borderId="33" xfId="0" applyNumberFormat="1" applyFont="1" applyBorder="1" applyAlignment="1">
      <alignment horizontal="right" vertical="center" wrapText="1" indent="1"/>
    </xf>
    <xf numFmtId="170" fontId="32" fillId="0" borderId="45" xfId="0" applyNumberFormat="1" applyFont="1" applyBorder="1" applyAlignment="1">
      <alignment horizontal="left" vertical="center" wrapText="1"/>
    </xf>
    <xf numFmtId="1" fontId="32" fillId="5" borderId="45" xfId="0" applyNumberFormat="1" applyFont="1" applyFill="1" applyBorder="1" applyAlignment="1">
      <alignment horizontal="center" vertical="center" wrapText="1"/>
    </xf>
    <xf numFmtId="170" fontId="32" fillId="0" borderId="45" xfId="0" applyNumberFormat="1" applyFont="1" applyBorder="1" applyAlignment="1">
      <alignment vertical="center" wrapText="1"/>
    </xf>
    <xf numFmtId="170" fontId="32" fillId="0" borderId="36" xfId="0" applyNumberFormat="1" applyFont="1" applyBorder="1" applyAlignment="1">
      <alignment vertical="center" wrapText="1"/>
    </xf>
    <xf numFmtId="170" fontId="32" fillId="0" borderId="10" xfId="0" applyNumberFormat="1" applyFont="1" applyBorder="1" applyAlignment="1">
      <alignment horizontal="right" vertical="center" wrapText="1" indent="1"/>
    </xf>
    <xf numFmtId="170" fontId="33" fillId="0" borderId="1" xfId="0" applyNumberFormat="1" applyFont="1" applyBorder="1" applyAlignment="1" applyProtection="1">
      <alignment horizontal="left" vertical="center" wrapText="1"/>
      <protection locked="0"/>
    </xf>
    <xf numFmtId="1" fontId="33" fillId="0" borderId="1" xfId="0" applyNumberFormat="1" applyFont="1" applyBorder="1" applyAlignment="1" applyProtection="1">
      <alignment horizontal="center" vertical="center" wrapText="1"/>
      <protection locked="0"/>
    </xf>
    <xf numFmtId="170" fontId="33" fillId="0" borderId="1" xfId="0" applyNumberFormat="1" applyFont="1" applyBorder="1" applyAlignment="1" applyProtection="1">
      <alignment vertical="center" wrapText="1"/>
      <protection locked="0"/>
    </xf>
    <xf numFmtId="170" fontId="33" fillId="0" borderId="5" xfId="0" applyNumberFormat="1" applyFont="1" applyBorder="1" applyAlignment="1" applyProtection="1">
      <alignment vertical="center" wrapText="1"/>
      <protection locked="0"/>
    </xf>
    <xf numFmtId="170" fontId="32" fillId="0" borderId="1" xfId="0" applyNumberFormat="1" applyFont="1" applyBorder="1" applyAlignment="1">
      <alignment horizontal="left" vertical="center" wrapText="1"/>
    </xf>
    <xf numFmtId="1" fontId="32" fillId="5" borderId="1" xfId="0" applyNumberFormat="1" applyFont="1" applyFill="1" applyBorder="1" applyAlignment="1">
      <alignment horizontal="center" vertical="center" wrapText="1"/>
    </xf>
    <xf numFmtId="170" fontId="32" fillId="0" borderId="1" xfId="0" applyNumberFormat="1" applyFont="1" applyBorder="1" applyAlignment="1">
      <alignment vertical="center" wrapText="1"/>
    </xf>
    <xf numFmtId="170" fontId="32" fillId="0" borderId="5" xfId="0" applyNumberFormat="1" applyFont="1" applyBorder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170" fontId="32" fillId="0" borderId="31" xfId="0" applyNumberFormat="1" applyFont="1" applyBorder="1" applyAlignment="1">
      <alignment horizontal="left" vertical="center" wrapText="1"/>
    </xf>
    <xf numFmtId="1" fontId="32" fillId="5" borderId="7" xfId="0" applyNumberFormat="1" applyFont="1" applyFill="1" applyBorder="1" applyAlignment="1">
      <alignment horizontal="center" vertical="center" wrapText="1"/>
    </xf>
    <xf numFmtId="170" fontId="32" fillId="0" borderId="31" xfId="0" applyNumberFormat="1" applyFont="1" applyBorder="1" applyAlignment="1">
      <alignment vertical="center" wrapText="1"/>
    </xf>
    <xf numFmtId="170" fontId="32" fillId="0" borderId="9" xfId="0" applyNumberFormat="1" applyFont="1" applyBorder="1" applyAlignment="1">
      <alignment vertical="center" wrapText="1"/>
    </xf>
    <xf numFmtId="170" fontId="33" fillId="0" borderId="48" xfId="0" applyNumberFormat="1" applyFont="1" applyBorder="1" applyAlignment="1">
      <alignment vertical="center" wrapText="1"/>
    </xf>
    <xf numFmtId="170" fontId="32" fillId="0" borderId="23" xfId="0" applyNumberFormat="1" applyFont="1" applyBorder="1" applyAlignment="1">
      <alignment horizontal="right" vertical="center" wrapText="1" indent="1"/>
    </xf>
    <xf numFmtId="170" fontId="32" fillId="0" borderId="25" xfId="0" applyNumberFormat="1" applyFont="1" applyBorder="1" applyAlignment="1">
      <alignment horizontal="left" vertical="center" wrapText="1"/>
    </xf>
    <xf numFmtId="1" fontId="33" fillId="5" borderId="24" xfId="0" applyNumberFormat="1" applyFont="1" applyFill="1" applyBorder="1" applyAlignment="1">
      <alignment vertical="center" wrapText="1"/>
    </xf>
    <xf numFmtId="170" fontId="32" fillId="0" borderId="25" xfId="0" applyNumberFormat="1" applyFont="1" applyBorder="1" applyAlignment="1">
      <alignment vertical="center" wrapText="1"/>
    </xf>
    <xf numFmtId="170" fontId="32" fillId="0" borderId="24" xfId="0" applyNumberFormat="1" applyFont="1" applyBorder="1" applyAlignment="1">
      <alignment vertical="center" wrapText="1"/>
    </xf>
    <xf numFmtId="170" fontId="32" fillId="0" borderId="50" xfId="0" applyNumberFormat="1" applyFont="1" applyBorder="1" applyAlignment="1">
      <alignment horizontal="right" vertical="center" wrapText="1" indent="1"/>
    </xf>
    <xf numFmtId="1" fontId="33" fillId="0" borderId="7" xfId="0" applyNumberFormat="1" applyFont="1" applyBorder="1" applyAlignment="1" applyProtection="1">
      <alignment horizontal="center" vertical="center" wrapText="1"/>
      <protection locked="0"/>
    </xf>
    <xf numFmtId="170" fontId="33" fillId="0" borderId="7" xfId="0" applyNumberFormat="1" applyFont="1" applyBorder="1" applyAlignment="1" applyProtection="1">
      <alignment vertical="center" wrapText="1"/>
      <protection locked="0"/>
    </xf>
    <xf numFmtId="170" fontId="33" fillId="0" borderId="51" xfId="0" applyNumberFormat="1" applyFont="1" applyBorder="1" applyAlignment="1" applyProtection="1">
      <alignment vertical="center" wrapText="1"/>
      <protection locked="0"/>
    </xf>
    <xf numFmtId="170" fontId="33" fillId="0" borderId="8" xfId="0" applyNumberFormat="1" applyFont="1" applyBorder="1" applyAlignment="1" applyProtection="1">
      <alignment vertical="center" wrapText="1"/>
      <protection locked="0"/>
    </xf>
    <xf numFmtId="170" fontId="33" fillId="0" borderId="15" xfId="0" applyNumberFormat="1" applyFont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justify" vertical="center" wrapText="1"/>
    </xf>
    <xf numFmtId="170" fontId="33" fillId="0" borderId="1" xfId="0" applyNumberFormat="1" applyFont="1" applyBorder="1" applyAlignment="1">
      <alignment vertical="center" wrapText="1"/>
    </xf>
    <xf numFmtId="0" fontId="32" fillId="0" borderId="51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70" fontId="32" fillId="0" borderId="49" xfId="0" applyNumberFormat="1" applyFont="1" applyBorder="1" applyAlignment="1">
      <alignment horizontal="center" vertical="center" wrapText="1"/>
    </xf>
    <xf numFmtId="170" fontId="32" fillId="0" borderId="25" xfId="0" applyNumberFormat="1" applyFont="1" applyFill="1" applyBorder="1" applyAlignment="1">
      <alignment horizontal="center" vertical="center" wrapText="1"/>
    </xf>
    <xf numFmtId="170" fontId="32" fillId="0" borderId="48" xfId="0" applyNumberFormat="1" applyFont="1" applyBorder="1" applyAlignment="1">
      <alignment vertical="center" wrapText="1"/>
    </xf>
    <xf numFmtId="170" fontId="32" fillId="0" borderId="49" xfId="0" applyNumberFormat="1" applyFont="1" applyFill="1" applyBorder="1" applyAlignment="1">
      <alignment vertical="center" wrapText="1"/>
    </xf>
    <xf numFmtId="170" fontId="33" fillId="0" borderId="4" xfId="0" applyNumberFormat="1" applyFont="1" applyBorder="1" applyAlignment="1">
      <alignment vertical="center" wrapText="1"/>
    </xf>
    <xf numFmtId="170" fontId="32" fillId="0" borderId="4" xfId="0" applyNumberFormat="1" applyFont="1" applyBorder="1" applyAlignment="1">
      <alignment vertical="center" wrapText="1"/>
    </xf>
    <xf numFmtId="170" fontId="32" fillId="0" borderId="46" xfId="0" applyNumberFormat="1" applyFont="1" applyFill="1" applyBorder="1" applyAlignment="1">
      <alignment vertical="center" wrapText="1"/>
    </xf>
    <xf numFmtId="170" fontId="33" fillId="0" borderId="47" xfId="0" applyNumberFormat="1" applyFont="1" applyFill="1" applyBorder="1" applyAlignment="1">
      <alignment vertical="center" wrapText="1"/>
    </xf>
    <xf numFmtId="170" fontId="32" fillId="0" borderId="47" xfId="0" applyNumberFormat="1" applyFont="1" applyFill="1" applyBorder="1" applyAlignment="1">
      <alignment vertical="center" wrapText="1"/>
    </xf>
    <xf numFmtId="170" fontId="33" fillId="0" borderId="52" xfId="0" applyNumberFormat="1" applyFont="1" applyFill="1" applyBorder="1" applyAlignment="1">
      <alignment vertical="center" wrapText="1"/>
    </xf>
    <xf numFmtId="170" fontId="33" fillId="0" borderId="53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 wrapText="1"/>
    </xf>
    <xf numFmtId="49" fontId="3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 wrapText="1"/>
    </xf>
    <xf numFmtId="49" fontId="37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170" fontId="33" fillId="0" borderId="22" xfId="0" applyNumberFormat="1" applyFont="1" applyBorder="1" applyAlignment="1">
      <alignment vertical="center" wrapText="1"/>
    </xf>
    <xf numFmtId="170" fontId="33" fillId="0" borderId="8" xfId="0" applyNumberFormat="1" applyFont="1" applyBorder="1" applyAlignment="1">
      <alignment vertical="center" wrapText="1"/>
    </xf>
    <xf numFmtId="170" fontId="33" fillId="0" borderId="55" xfId="0" applyNumberFormat="1" applyFont="1" applyBorder="1" applyAlignment="1">
      <alignment vertical="center" wrapText="1"/>
    </xf>
    <xf numFmtId="170" fontId="32" fillId="0" borderId="2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/>
    <xf numFmtId="3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3" fontId="9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/>
    <xf numFmtId="3" fontId="10" fillId="0" borderId="5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/>
    <xf numFmtId="49" fontId="39" fillId="0" borderId="1" xfId="0" applyNumberFormat="1" applyFont="1" applyBorder="1" applyAlignment="1">
      <alignment horizontal="center"/>
    </xf>
    <xf numFmtId="49" fontId="39" fillId="0" borderId="1" xfId="0" applyNumberFormat="1" applyFont="1" applyBorder="1" applyAlignment="1">
      <alignment wrapText="1"/>
    </xf>
    <xf numFmtId="3" fontId="39" fillId="0" borderId="1" xfId="0" applyNumberFormat="1" applyFont="1" applyBorder="1"/>
    <xf numFmtId="3" fontId="40" fillId="0" borderId="1" xfId="0" applyNumberFormat="1" applyFont="1" applyBorder="1"/>
    <xf numFmtId="0" fontId="31" fillId="0" borderId="0" xfId="0" applyFont="1"/>
    <xf numFmtId="49" fontId="41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/>
    <xf numFmtId="0" fontId="2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Border="1"/>
    <xf numFmtId="3" fontId="2" fillId="0" borderId="0" xfId="0" applyNumberFormat="1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" fontId="42" fillId="0" borderId="0" xfId="0" applyNumberFormat="1" applyFont="1" applyBorder="1"/>
    <xf numFmtId="3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/>
    <xf numFmtId="3" fontId="9" fillId="0" borderId="0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/>
    <xf numFmtId="49" fontId="9" fillId="0" borderId="1" xfId="0" applyNumberFormat="1" applyFont="1" applyBorder="1" applyAlignment="1"/>
    <xf numFmtId="3" fontId="9" fillId="0" borderId="5" xfId="0" applyNumberFormat="1" applyFont="1" applyBorder="1" applyAlignment="1"/>
    <xf numFmtId="0" fontId="11" fillId="0" borderId="5" xfId="0" applyFont="1" applyBorder="1" applyAlignment="1">
      <alignment vertical="center"/>
    </xf>
    <xf numFmtId="0" fontId="9" fillId="0" borderId="5" xfId="0" applyFont="1" applyBorder="1" applyAlignment="1"/>
    <xf numFmtId="0" fontId="9" fillId="0" borderId="3" xfId="0" applyFont="1" applyBorder="1" applyAlignment="1"/>
    <xf numFmtId="49" fontId="11" fillId="0" borderId="5" xfId="0" applyNumberFormat="1" applyFont="1" applyBorder="1" applyAlignment="1"/>
    <xf numFmtId="0" fontId="12" fillId="0" borderId="5" xfId="0" applyFont="1" applyBorder="1" applyAlignment="1"/>
    <xf numFmtId="0" fontId="12" fillId="0" borderId="3" xfId="0" applyFont="1" applyBorder="1" applyAlignment="1"/>
    <xf numFmtId="0" fontId="1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0" xfId="0" applyFont="1" applyAlignment="1">
      <alignment wrapText="1"/>
    </xf>
    <xf numFmtId="0" fontId="9" fillId="0" borderId="2" xfId="0" applyFont="1" applyBorder="1" applyAlignment="1"/>
    <xf numFmtId="3" fontId="10" fillId="0" borderId="5" xfId="0" applyNumberFormat="1" applyFont="1" applyBorder="1" applyAlignment="1"/>
    <xf numFmtId="49" fontId="10" fillId="0" borderId="5" xfId="0" applyNumberFormat="1" applyFont="1" applyBorder="1" applyAlignment="1"/>
    <xf numFmtId="0" fontId="9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/>
    <xf numFmtId="0" fontId="5" fillId="0" borderId="0" xfId="0" applyFont="1" applyFill="1" applyAlignment="1">
      <alignment wrapText="1"/>
    </xf>
    <xf numFmtId="49" fontId="0" fillId="0" borderId="0" xfId="0" applyNumberFormat="1" applyFill="1" applyBorder="1" applyAlignment="1"/>
    <xf numFmtId="3" fontId="17" fillId="0" borderId="1" xfId="0" applyNumberFormat="1" applyFont="1" applyFill="1" applyBorder="1" applyAlignment="1"/>
    <xf numFmtId="3" fontId="32" fillId="0" borderId="1" xfId="0" applyNumberFormat="1" applyFont="1" applyFill="1" applyBorder="1" applyAlignment="1">
      <alignment horizontal="right" vertical="center" wrapText="1"/>
    </xf>
    <xf numFmtId="3" fontId="33" fillId="0" borderId="1" xfId="0" applyNumberFormat="1" applyFont="1" applyFill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/>
    <xf numFmtId="3" fontId="0" fillId="0" borderId="0" xfId="0" applyNumberFormat="1" applyFill="1"/>
    <xf numFmtId="0" fontId="11" fillId="0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/>
    <xf numFmtId="0" fontId="12" fillId="0" borderId="1" xfId="7" applyNumberFormat="1" applyFont="1" applyFill="1" applyBorder="1"/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0" fillId="0" borderId="1" xfId="0" applyFont="1" applyBorder="1"/>
    <xf numFmtId="0" fontId="10" fillId="0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28" fillId="0" borderId="1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wrapText="1"/>
    </xf>
    <xf numFmtId="3" fontId="11" fillId="0" borderId="8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0" fontId="32" fillId="0" borderId="39" xfId="0" applyNumberFormat="1" applyFont="1" applyBorder="1" applyAlignment="1">
      <alignment horizontal="center" vertical="center" wrapText="1"/>
    </xf>
    <xf numFmtId="170" fontId="32" fillId="0" borderId="44" xfId="0" applyNumberFormat="1" applyFont="1" applyBorder="1" applyAlignment="1">
      <alignment horizontal="center" vertical="center" wrapText="1"/>
    </xf>
    <xf numFmtId="170" fontId="32" fillId="0" borderId="29" xfId="0" applyNumberFormat="1" applyFont="1" applyBorder="1" applyAlignment="1">
      <alignment horizontal="center" vertical="center" wrapText="1"/>
    </xf>
    <xf numFmtId="170" fontId="32" fillId="0" borderId="40" xfId="0" applyNumberFormat="1" applyFont="1" applyBorder="1" applyAlignment="1">
      <alignment horizontal="center" vertical="center" wrapText="1"/>
    </xf>
    <xf numFmtId="170" fontId="32" fillId="0" borderId="30" xfId="0" applyNumberFormat="1" applyFont="1" applyBorder="1" applyAlignment="1">
      <alignment horizontal="center" vertical="center" wrapText="1"/>
    </xf>
    <xf numFmtId="170" fontId="32" fillId="0" borderId="41" xfId="0" applyNumberFormat="1" applyFont="1" applyBorder="1" applyAlignment="1">
      <alignment horizontal="center" vertical="center" wrapText="1"/>
    </xf>
    <xf numFmtId="170" fontId="32" fillId="0" borderId="41" xfId="0" applyNumberFormat="1" applyFont="1" applyBorder="1" applyAlignment="1">
      <alignment horizontal="center" vertical="center"/>
    </xf>
    <xf numFmtId="3" fontId="11" fillId="2" borderId="1" xfId="9" applyNumberFormat="1" applyFont="1" applyFill="1" applyBorder="1" applyAlignment="1" applyProtection="1">
      <alignment horizontal="right" vertical="center" wrapText="1" indent="1"/>
      <protection locked="0" hidden="1"/>
    </xf>
    <xf numFmtId="3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171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171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/>
    <xf numFmtId="0" fontId="9" fillId="0" borderId="4" xfId="0" applyFont="1" applyBorder="1" applyAlignment="1"/>
    <xf numFmtId="0" fontId="0" fillId="0" borderId="9" xfId="0" applyBorder="1"/>
    <xf numFmtId="0" fontId="9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</cellXfs>
  <cellStyles count="10">
    <cellStyle name="Ezres" xfId="6" builtinId="3"/>
    <cellStyle name="Ezres 2" xfId="9" xr:uid="{00000000-0005-0000-0000-000001000000}"/>
    <cellStyle name="Normál" xfId="0" builtinId="0"/>
    <cellStyle name="Normál 2" xfId="1" xr:uid="{00000000-0005-0000-0000-000003000000}"/>
    <cellStyle name="Normál 2 2" xfId="2" xr:uid="{00000000-0005-0000-0000-000004000000}"/>
    <cellStyle name="Normál 3" xfId="4" xr:uid="{00000000-0005-0000-0000-000005000000}"/>
    <cellStyle name="Normál_KVRENMUNKA" xfId="8" xr:uid="{00000000-0005-0000-0000-000006000000}"/>
    <cellStyle name="Pénznem 2" xfId="3" xr:uid="{00000000-0005-0000-0000-000007000000}"/>
    <cellStyle name="Pénznem 3" xfId="5" xr:uid="{00000000-0005-0000-0000-000008000000}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M69"/>
  <sheetViews>
    <sheetView showWhiteSpace="0" view="pageBreakPreview" topLeftCell="A31" zoomScaleNormal="100" zoomScaleSheetLayoutView="100" workbookViewId="0">
      <selection activeCell="J33" sqref="J33"/>
    </sheetView>
  </sheetViews>
  <sheetFormatPr defaultRowHeight="14.4" x14ac:dyDescent="0.3"/>
  <cols>
    <col min="1" max="1" width="6.44140625" style="3" customWidth="1"/>
    <col min="2" max="2" width="52.33203125" style="2" bestFit="1" customWidth="1"/>
    <col min="3" max="3" width="11.6640625" customWidth="1"/>
    <col min="4" max="4" width="11.6640625" style="221" customWidth="1"/>
    <col min="5" max="5" width="11.6640625" customWidth="1"/>
    <col min="6" max="6" width="11.6640625" style="221" customWidth="1"/>
    <col min="7" max="7" width="10.33203125" customWidth="1"/>
    <col min="8" max="8" width="10.33203125" style="221" customWidth="1"/>
    <col min="9" max="9" width="12.6640625" customWidth="1"/>
    <col min="10" max="10" width="12.6640625" style="221" customWidth="1"/>
    <col min="11" max="11" width="12.44140625" style="359" bestFit="1" customWidth="1"/>
    <col min="12" max="12" width="11.6640625" style="360" customWidth="1"/>
  </cols>
  <sheetData>
    <row r="1" spans="1:12" ht="34.799999999999997" customHeight="1" x14ac:dyDescent="0.3">
      <c r="B1" s="586" t="s">
        <v>543</v>
      </c>
      <c r="C1" s="644" t="s">
        <v>42</v>
      </c>
      <c r="D1" s="644"/>
      <c r="E1" s="644"/>
      <c r="F1" s="644"/>
      <c r="G1" s="222"/>
      <c r="H1" s="222"/>
      <c r="I1" s="643" t="s">
        <v>518</v>
      </c>
      <c r="J1" s="643"/>
    </row>
    <row r="2" spans="1:12" ht="25.2" customHeight="1" x14ac:dyDescent="0.3">
      <c r="B2" s="584"/>
      <c r="C2" s="644" t="s">
        <v>344</v>
      </c>
      <c r="D2" s="644"/>
      <c r="E2" s="644"/>
      <c r="F2" s="644"/>
      <c r="G2" s="223"/>
      <c r="H2" s="223"/>
      <c r="I2" s="643"/>
      <c r="J2" s="643"/>
    </row>
    <row r="3" spans="1:12" ht="24" customHeight="1" x14ac:dyDescent="0.3">
      <c r="A3" s="365"/>
      <c r="B3" s="364" t="s">
        <v>43</v>
      </c>
      <c r="C3" s="393"/>
      <c r="D3" s="393"/>
      <c r="E3" s="393"/>
      <c r="F3" s="393"/>
      <c r="G3" s="393"/>
      <c r="H3" s="393"/>
      <c r="I3" s="393"/>
      <c r="J3" s="64" t="s">
        <v>418</v>
      </c>
      <c r="K3" s="336"/>
      <c r="L3" s="297"/>
    </row>
    <row r="4" spans="1:12" ht="48" x14ac:dyDescent="0.3">
      <c r="A4" s="283" t="s">
        <v>31</v>
      </c>
      <c r="B4" s="284" t="s">
        <v>32</v>
      </c>
      <c r="C4" s="284" t="s">
        <v>436</v>
      </c>
      <c r="D4" s="284" t="s">
        <v>440</v>
      </c>
      <c r="E4" s="284" t="s">
        <v>437</v>
      </c>
      <c r="F4" s="284" t="s">
        <v>441</v>
      </c>
      <c r="G4" s="284" t="s">
        <v>438</v>
      </c>
      <c r="H4" s="284" t="s">
        <v>442</v>
      </c>
      <c r="I4" s="284" t="s">
        <v>439</v>
      </c>
      <c r="J4" s="284" t="s">
        <v>443</v>
      </c>
      <c r="K4" s="301" t="s">
        <v>368</v>
      </c>
      <c r="L4" s="298" t="s">
        <v>369</v>
      </c>
    </row>
    <row r="5" spans="1:12" s="220" customFormat="1" ht="12.75" customHeight="1" x14ac:dyDescent="0.3">
      <c r="A5" s="329" t="s">
        <v>12</v>
      </c>
      <c r="B5" s="330" t="s">
        <v>80</v>
      </c>
      <c r="C5" s="328">
        <f>+'2. önkorm.bevkiad'!C5+'3-10 önálló int.be-ki.'!CE5</f>
        <v>811553548</v>
      </c>
      <c r="D5" s="328">
        <f>+'2. önkorm.bevkiad'!D5+'3-10 önálló int.be-ki.'!CF5</f>
        <v>852246572</v>
      </c>
      <c r="E5" s="337">
        <f>+'2. önkorm.bevkiad'!E5+'3-10 önálló int.be-ki.'!CG5</f>
        <v>0</v>
      </c>
      <c r="F5" s="337">
        <f>+'2. önkorm.bevkiad'!F5+'3-10 önálló int.be-ki.'!CH5</f>
        <v>0</v>
      </c>
      <c r="G5" s="337">
        <f>+'2. önkorm.bevkiad'!G5+'3-10 önálló int.be-ki.'!CI5</f>
        <v>0</v>
      </c>
      <c r="H5" s="337">
        <f>+'2. önkorm.bevkiad'!H5+'3-10 önálló int.be-ki.'!CJ5</f>
        <v>0</v>
      </c>
      <c r="I5" s="337">
        <f>C5+E5+G5</f>
        <v>811553548</v>
      </c>
      <c r="J5" s="337">
        <f>D5+F5+H5</f>
        <v>852246572</v>
      </c>
      <c r="K5" s="338">
        <v>860245</v>
      </c>
      <c r="L5" s="338">
        <v>771990</v>
      </c>
    </row>
    <row r="6" spans="1:12" s="220" customFormat="1" ht="12.75" customHeight="1" x14ac:dyDescent="0.3">
      <c r="A6" s="329" t="s">
        <v>13</v>
      </c>
      <c r="B6" s="330" t="s">
        <v>81</v>
      </c>
      <c r="C6" s="328">
        <f>+'2. önkorm.bevkiad'!C6+'3-10 önálló int.be-ki.'!CE6</f>
        <v>124471452</v>
      </c>
      <c r="D6" s="328">
        <f>+'2. önkorm.bevkiad'!D6+'3-10 önálló int.be-ki.'!CF6</f>
        <v>83778428</v>
      </c>
      <c r="E6" s="328">
        <f>+'2. önkorm.bevkiad'!E6+'3-10 önálló int.be-ki.'!CG6</f>
        <v>0</v>
      </c>
      <c r="F6" s="328">
        <f>+'2. önkorm.bevkiad'!F6+'3-10 önálló int.be-ki.'!CH6</f>
        <v>0</v>
      </c>
      <c r="G6" s="328">
        <f>+'2. önkorm.bevkiad'!G6+'3-10 önálló int.be-ki.'!CI6</f>
        <v>0</v>
      </c>
      <c r="H6" s="328">
        <f>+'2. önkorm.bevkiad'!H6+'3-10 önálló int.be-ki.'!CJ6</f>
        <v>0</v>
      </c>
      <c r="I6" s="328">
        <f t="shared" ref="I6:J24" si="0">C6+E6+G6</f>
        <v>124471452</v>
      </c>
      <c r="J6" s="328">
        <f t="shared" si="0"/>
        <v>83778428</v>
      </c>
      <c r="K6" s="299">
        <v>100639</v>
      </c>
      <c r="L6" s="299">
        <v>65136</v>
      </c>
    </row>
    <row r="7" spans="1:12" ht="12.75" customHeight="1" x14ac:dyDescent="0.3">
      <c r="A7" s="325" t="s">
        <v>55</v>
      </c>
      <c r="B7" s="326" t="s">
        <v>82</v>
      </c>
      <c r="C7" s="327">
        <f>+C8+C10+C9</f>
        <v>124471000</v>
      </c>
      <c r="D7" s="327">
        <f>+D8+D10+D9</f>
        <v>83777976</v>
      </c>
      <c r="E7" s="327">
        <f>E8+E9+E10</f>
        <v>0</v>
      </c>
      <c r="F7" s="327">
        <f>F8+F9+F10</f>
        <v>0</v>
      </c>
      <c r="G7" s="327">
        <f>G8+G9+G10</f>
        <v>0</v>
      </c>
      <c r="H7" s="327">
        <f>H8+H9+H10</f>
        <v>0</v>
      </c>
      <c r="I7" s="328">
        <f t="shared" si="0"/>
        <v>124471000</v>
      </c>
      <c r="J7" s="328">
        <f t="shared" si="0"/>
        <v>83777976</v>
      </c>
      <c r="K7" s="299">
        <v>100639</v>
      </c>
      <c r="L7" s="299">
        <v>65136</v>
      </c>
    </row>
    <row r="8" spans="1:12" ht="12.75" customHeight="1" x14ac:dyDescent="0.3">
      <c r="A8" s="325" t="s">
        <v>83</v>
      </c>
      <c r="B8" s="326" t="s">
        <v>397</v>
      </c>
      <c r="C8" s="182">
        <v>50471000</v>
      </c>
      <c r="D8" s="182">
        <v>50471000</v>
      </c>
      <c r="E8" s="327">
        <v>0</v>
      </c>
      <c r="F8" s="327">
        <v>0</v>
      </c>
      <c r="G8" s="327">
        <v>0</v>
      </c>
      <c r="H8" s="327">
        <v>0</v>
      </c>
      <c r="I8" s="328">
        <f t="shared" si="0"/>
        <v>50471000</v>
      </c>
      <c r="J8" s="328">
        <f t="shared" si="0"/>
        <v>50471000</v>
      </c>
      <c r="K8" s="299">
        <v>43717</v>
      </c>
      <c r="L8" s="299">
        <v>39618</v>
      </c>
    </row>
    <row r="9" spans="1:12" ht="12" customHeight="1" x14ac:dyDescent="0.3">
      <c r="A9" s="325" t="s">
        <v>84</v>
      </c>
      <c r="B9" s="326" t="s">
        <v>327</v>
      </c>
      <c r="C9" s="182">
        <v>4000000</v>
      </c>
      <c r="D9" s="182">
        <v>4000000</v>
      </c>
      <c r="E9" s="327">
        <v>0</v>
      </c>
      <c r="F9" s="327">
        <v>0</v>
      </c>
      <c r="G9" s="327">
        <v>0</v>
      </c>
      <c r="H9" s="327">
        <v>0</v>
      </c>
      <c r="I9" s="328">
        <f t="shared" si="0"/>
        <v>4000000</v>
      </c>
      <c r="J9" s="328">
        <f t="shared" si="0"/>
        <v>4000000</v>
      </c>
      <c r="K9" s="299">
        <v>35441</v>
      </c>
      <c r="L9" s="299">
        <v>21518</v>
      </c>
    </row>
    <row r="10" spans="1:12" ht="12" customHeight="1" x14ac:dyDescent="0.3">
      <c r="A10" s="325" t="s">
        <v>85</v>
      </c>
      <c r="B10" s="326" t="s">
        <v>341</v>
      </c>
      <c r="C10" s="182">
        <v>70000000</v>
      </c>
      <c r="D10" s="182">
        <v>29306976</v>
      </c>
      <c r="E10" s="327">
        <v>0</v>
      </c>
      <c r="F10" s="327">
        <v>0</v>
      </c>
      <c r="G10" s="327">
        <v>0</v>
      </c>
      <c r="H10" s="327">
        <v>0</v>
      </c>
      <c r="I10" s="328">
        <f t="shared" si="0"/>
        <v>70000000</v>
      </c>
      <c r="J10" s="328">
        <f t="shared" si="0"/>
        <v>29306976</v>
      </c>
      <c r="K10" s="299">
        <v>21481</v>
      </c>
      <c r="L10" s="361">
        <v>4000</v>
      </c>
    </row>
    <row r="11" spans="1:12" s="220" customFormat="1" ht="12" customHeight="1" x14ac:dyDescent="0.3">
      <c r="A11" s="329" t="s">
        <v>14</v>
      </c>
      <c r="B11" s="330" t="s">
        <v>87</v>
      </c>
      <c r="C11" s="328">
        <f>+'2. önkorm.bevkiad'!C11+'3-10 önálló int.be-ki.'!CE7</f>
        <v>711000000</v>
      </c>
      <c r="D11" s="328">
        <f>+'2. önkorm.bevkiad'!D11+'3-10 önálló int.be-ki.'!CF7</f>
        <v>478500000</v>
      </c>
      <c r="E11" s="328">
        <f>+'2. önkorm.bevkiad'!E11+'3-10 önálló int.be-ki.'!CG7</f>
        <v>0</v>
      </c>
      <c r="F11" s="328">
        <f>+'2. önkorm.bevkiad'!F11+'3-10 önálló int.be-ki.'!CH7</f>
        <v>0</v>
      </c>
      <c r="G11" s="328">
        <f>+'2. önkorm.bevkiad'!G11+'3-10 önálló int.be-ki.'!CI7</f>
        <v>0</v>
      </c>
      <c r="H11" s="328">
        <f>+'2. önkorm.bevkiad'!H11+'3-10 önálló int.be-ki.'!CJ7</f>
        <v>0</v>
      </c>
      <c r="I11" s="328">
        <f t="shared" si="0"/>
        <v>711000000</v>
      </c>
      <c r="J11" s="328">
        <f t="shared" si="0"/>
        <v>478500000</v>
      </c>
      <c r="K11" s="299">
        <v>171772</v>
      </c>
      <c r="L11" s="299">
        <v>388334</v>
      </c>
    </row>
    <row r="12" spans="1:12" s="220" customFormat="1" ht="12.75" customHeight="1" x14ac:dyDescent="0.3">
      <c r="A12" s="329" t="s">
        <v>15</v>
      </c>
      <c r="B12" s="330" t="s">
        <v>88</v>
      </c>
      <c r="C12" s="328">
        <f>+'2. önkorm.bevkiad'!C12+'3-10 önálló int.be-ki.'!CE8</f>
        <v>1000144000</v>
      </c>
      <c r="D12" s="328">
        <f>+'2. önkorm.bevkiad'!D12+'3-10 önálló int.be-ki.'!CF8</f>
        <v>959144000</v>
      </c>
      <c r="E12" s="328">
        <f>+'2. önkorm.bevkiad'!E12+'3-10 önálló int.be-ki.'!CG8</f>
        <v>99856000</v>
      </c>
      <c r="F12" s="328">
        <f>+'2. önkorm.bevkiad'!F12+'3-10 önálló int.be-ki.'!CH8</f>
        <v>95856000</v>
      </c>
      <c r="G12" s="328">
        <f>+'2. önkorm.bevkiad'!G12+'3-10 önálló int.be-ki.'!CI8</f>
        <v>0</v>
      </c>
      <c r="H12" s="328">
        <f>+'2. önkorm.bevkiad'!H12+'3-10 önálló int.be-ki.'!CJ8</f>
        <v>0</v>
      </c>
      <c r="I12" s="328">
        <f t="shared" si="0"/>
        <v>1100000000</v>
      </c>
      <c r="J12" s="328">
        <f t="shared" si="0"/>
        <v>1055000000</v>
      </c>
      <c r="K12" s="299">
        <v>1144995</v>
      </c>
      <c r="L12" s="299">
        <v>979539</v>
      </c>
    </row>
    <row r="13" spans="1:12" ht="12.75" customHeight="1" x14ac:dyDescent="0.3">
      <c r="A13" s="325"/>
      <c r="B13" s="326" t="s">
        <v>38</v>
      </c>
      <c r="C13" s="182">
        <v>300000000</v>
      </c>
      <c r="D13" s="182">
        <v>300000000</v>
      </c>
      <c r="E13" s="182">
        <v>0</v>
      </c>
      <c r="F13" s="182">
        <v>0</v>
      </c>
      <c r="G13" s="327">
        <v>0</v>
      </c>
      <c r="H13" s="327">
        <v>0</v>
      </c>
      <c r="I13" s="328">
        <f t="shared" si="0"/>
        <v>300000000</v>
      </c>
      <c r="J13" s="328">
        <f t="shared" si="0"/>
        <v>300000000</v>
      </c>
      <c r="K13" s="299">
        <v>323446</v>
      </c>
      <c r="L13" s="299">
        <v>285994</v>
      </c>
    </row>
    <row r="14" spans="1:12" ht="12.75" customHeight="1" x14ac:dyDescent="0.3">
      <c r="A14" s="325"/>
      <c r="B14" s="326" t="s">
        <v>39</v>
      </c>
      <c r="C14" s="182">
        <v>85000000</v>
      </c>
      <c r="D14" s="446">
        <v>85000000</v>
      </c>
      <c r="E14" s="182">
        <v>0</v>
      </c>
      <c r="F14" s="182">
        <v>0</v>
      </c>
      <c r="G14" s="327">
        <v>0</v>
      </c>
      <c r="H14" s="327">
        <v>0</v>
      </c>
      <c r="I14" s="328">
        <f t="shared" si="0"/>
        <v>85000000</v>
      </c>
      <c r="J14" s="328">
        <f t="shared" si="0"/>
        <v>85000000</v>
      </c>
      <c r="K14" s="299">
        <v>92076</v>
      </c>
      <c r="L14" s="299">
        <v>75624</v>
      </c>
    </row>
    <row r="15" spans="1:12" ht="12.75" customHeight="1" x14ac:dyDescent="0.3">
      <c r="A15" s="325"/>
      <c r="B15" s="326" t="s">
        <v>40</v>
      </c>
      <c r="C15" s="182">
        <f>662500000-E15</f>
        <v>562644000</v>
      </c>
      <c r="D15" s="182">
        <f>662500000-F15</f>
        <v>566644000</v>
      </c>
      <c r="E15" s="182">
        <v>99856000</v>
      </c>
      <c r="F15" s="182">
        <v>95856000</v>
      </c>
      <c r="G15" s="327">
        <v>0</v>
      </c>
      <c r="H15" s="327">
        <v>0</v>
      </c>
      <c r="I15" s="328">
        <f t="shared" si="0"/>
        <v>662500000</v>
      </c>
      <c r="J15" s="328">
        <f t="shared" si="0"/>
        <v>662500000</v>
      </c>
      <c r="K15" s="299">
        <v>672975</v>
      </c>
      <c r="L15" s="299">
        <v>569597</v>
      </c>
    </row>
    <row r="16" spans="1:12" ht="12.75" customHeight="1" x14ac:dyDescent="0.3">
      <c r="A16" s="325"/>
      <c r="B16" s="326" t="s">
        <v>71</v>
      </c>
      <c r="C16" s="182">
        <v>2000000</v>
      </c>
      <c r="D16" s="182">
        <v>2000000</v>
      </c>
      <c r="E16" s="182">
        <v>0</v>
      </c>
      <c r="F16" s="182">
        <v>0</v>
      </c>
      <c r="G16" s="327">
        <v>0</v>
      </c>
      <c r="H16" s="327">
        <v>0</v>
      </c>
      <c r="I16" s="328">
        <f t="shared" si="0"/>
        <v>2000000</v>
      </c>
      <c r="J16" s="328">
        <f t="shared" si="0"/>
        <v>2000000</v>
      </c>
      <c r="K16" s="299">
        <v>2511</v>
      </c>
      <c r="L16" s="299">
        <v>1837</v>
      </c>
    </row>
    <row r="17" spans="1:12" ht="12.75" customHeight="1" x14ac:dyDescent="0.3">
      <c r="A17" s="325"/>
      <c r="B17" s="326" t="s">
        <v>41</v>
      </c>
      <c r="C17" s="182">
        <v>45000000</v>
      </c>
      <c r="D17" s="182">
        <v>0</v>
      </c>
      <c r="E17" s="182">
        <v>0</v>
      </c>
      <c r="F17" s="182">
        <v>0</v>
      </c>
      <c r="G17" s="327">
        <v>0</v>
      </c>
      <c r="H17" s="327">
        <v>0</v>
      </c>
      <c r="I17" s="328">
        <f t="shared" si="0"/>
        <v>45000000</v>
      </c>
      <c r="J17" s="328">
        <f t="shared" si="0"/>
        <v>0</v>
      </c>
      <c r="K17" s="299">
        <v>49232</v>
      </c>
      <c r="L17" s="299">
        <v>44863</v>
      </c>
    </row>
    <row r="18" spans="1:12" ht="12.75" customHeight="1" x14ac:dyDescent="0.3">
      <c r="A18" s="325"/>
      <c r="B18" s="326" t="s">
        <v>285</v>
      </c>
      <c r="C18" s="182">
        <v>5500000</v>
      </c>
      <c r="D18" s="182">
        <v>5500000</v>
      </c>
      <c r="E18" s="182">
        <v>0</v>
      </c>
      <c r="F18" s="182">
        <v>0</v>
      </c>
      <c r="G18" s="327">
        <v>0</v>
      </c>
      <c r="H18" s="327">
        <v>0</v>
      </c>
      <c r="I18" s="328">
        <f t="shared" si="0"/>
        <v>5500000</v>
      </c>
      <c r="J18" s="328">
        <f t="shared" si="0"/>
        <v>5500000</v>
      </c>
      <c r="K18" s="299">
        <v>4755</v>
      </c>
      <c r="L18" s="361">
        <v>1624</v>
      </c>
    </row>
    <row r="19" spans="1:12" s="220" customFormat="1" ht="12.75" customHeight="1" x14ac:dyDescent="0.3">
      <c r="A19" s="329" t="s">
        <v>16</v>
      </c>
      <c r="B19" s="330" t="s">
        <v>89</v>
      </c>
      <c r="C19" s="328">
        <f>+'2. önkorm.bevkiad'!C19+'3-10 önálló int.be-ki.'!CE9</f>
        <v>341996000</v>
      </c>
      <c r="D19" s="328">
        <f>+'2. önkorm.bevkiad'!D19+'3-10 önálló int.be-ki.'!CF9</f>
        <v>341996000</v>
      </c>
      <c r="E19" s="328">
        <f>+'2. önkorm.bevkiad'!E19+'3-10 önálló int.be-ki.'!CG9</f>
        <v>0</v>
      </c>
      <c r="F19" s="328">
        <f>+'2. önkorm.bevkiad'!F19+'3-10 önálló int.be-ki.'!CH9</f>
        <v>0</v>
      </c>
      <c r="G19" s="328">
        <f>+'2. önkorm.bevkiad'!G19+'3-10 önálló int.be-ki.'!CI9</f>
        <v>0</v>
      </c>
      <c r="H19" s="328">
        <f>+'2. önkorm.bevkiad'!H19+'3-10 önálló int.be-ki.'!CJ9</f>
        <v>0</v>
      </c>
      <c r="I19" s="328">
        <f t="shared" si="0"/>
        <v>341996000</v>
      </c>
      <c r="J19" s="328">
        <f t="shared" si="0"/>
        <v>341996000</v>
      </c>
      <c r="K19" s="299">
        <v>246691</v>
      </c>
      <c r="L19" s="299">
        <v>174635</v>
      </c>
    </row>
    <row r="20" spans="1:12" s="220" customFormat="1" ht="12.75" customHeight="1" x14ac:dyDescent="0.3">
      <c r="A20" s="329" t="s">
        <v>17</v>
      </c>
      <c r="B20" s="330" t="s">
        <v>90</v>
      </c>
      <c r="C20" s="328">
        <f>+'2. önkorm.bevkiad'!C20+'3-10 önálló int.be-ki.'!CE12</f>
        <v>281000000</v>
      </c>
      <c r="D20" s="328">
        <f>+'2. önkorm.bevkiad'!D20+'3-10 önálló int.be-ki.'!CF12</f>
        <v>38521437</v>
      </c>
      <c r="E20" s="328">
        <f>+'2. önkorm.bevkiad'!E20+'3-10 önálló int.be-ki.'!CG12</f>
        <v>0</v>
      </c>
      <c r="F20" s="328">
        <f>+'2. önkorm.bevkiad'!F20+'3-10 önálló int.be-ki.'!CH12</f>
        <v>0</v>
      </c>
      <c r="G20" s="328">
        <f>+'2. önkorm.bevkiad'!G20+'3-10 önálló int.be-ki.'!CI12</f>
        <v>0</v>
      </c>
      <c r="H20" s="328">
        <f>+'2. önkorm.bevkiad'!H20+'3-10 önálló int.be-ki.'!CJ12</f>
        <v>0</v>
      </c>
      <c r="I20" s="328">
        <f t="shared" si="0"/>
        <v>281000000</v>
      </c>
      <c r="J20" s="328">
        <f t="shared" si="0"/>
        <v>38521437</v>
      </c>
      <c r="K20" s="299">
        <v>69679</v>
      </c>
      <c r="L20" s="299">
        <v>24580</v>
      </c>
    </row>
    <row r="21" spans="1:12" s="220" customFormat="1" ht="12.75" customHeight="1" x14ac:dyDescent="0.3">
      <c r="A21" s="329" t="s">
        <v>18</v>
      </c>
      <c r="B21" s="330" t="s">
        <v>91</v>
      </c>
      <c r="C21" s="328">
        <v>0</v>
      </c>
      <c r="D21" s="328">
        <v>0</v>
      </c>
      <c r="E21" s="328">
        <v>0</v>
      </c>
      <c r="F21" s="569">
        <v>2237500</v>
      </c>
      <c r="G21" s="328">
        <v>0</v>
      </c>
      <c r="H21" s="328">
        <v>0</v>
      </c>
      <c r="I21" s="328">
        <f t="shared" si="0"/>
        <v>0</v>
      </c>
      <c r="J21" s="328">
        <f t="shared" si="0"/>
        <v>2237500</v>
      </c>
      <c r="K21" s="299">
        <v>38253</v>
      </c>
      <c r="L21" s="299">
        <v>4728</v>
      </c>
    </row>
    <row r="22" spans="1:12" s="220" customFormat="1" ht="12.75" customHeight="1" x14ac:dyDescent="0.3">
      <c r="A22" s="329" t="s">
        <v>19</v>
      </c>
      <c r="B22" s="330" t="s">
        <v>92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f t="shared" si="0"/>
        <v>0</v>
      </c>
      <c r="J22" s="328">
        <f t="shared" si="0"/>
        <v>0</v>
      </c>
      <c r="K22" s="299">
        <v>836</v>
      </c>
      <c r="L22" s="299">
        <v>0</v>
      </c>
    </row>
    <row r="23" spans="1:12" s="220" customFormat="1" ht="12.75" customHeight="1" x14ac:dyDescent="0.3">
      <c r="A23" s="329" t="s">
        <v>20</v>
      </c>
      <c r="B23" s="330" t="s">
        <v>93</v>
      </c>
      <c r="C23" s="328">
        <f t="shared" ref="C23:H23" si="1">C5+C6+C11+C12+C19+C20+C21+C22</f>
        <v>3270165000</v>
      </c>
      <c r="D23" s="328">
        <f>D5+D6+D11+D12+D19+D20+D21+D22</f>
        <v>2754186437</v>
      </c>
      <c r="E23" s="328">
        <f t="shared" si="1"/>
        <v>99856000</v>
      </c>
      <c r="F23" s="328">
        <f t="shared" si="1"/>
        <v>98093500</v>
      </c>
      <c r="G23" s="328">
        <f t="shared" si="1"/>
        <v>0</v>
      </c>
      <c r="H23" s="328">
        <f t="shared" si="1"/>
        <v>0</v>
      </c>
      <c r="I23" s="328">
        <f t="shared" si="0"/>
        <v>3370021000</v>
      </c>
      <c r="J23" s="328">
        <f t="shared" si="0"/>
        <v>2852279937</v>
      </c>
      <c r="K23" s="324">
        <f>+K5+K6+K11+K12+K19+K20+K21+K22</f>
        <v>2633110</v>
      </c>
      <c r="L23" s="206">
        <f>+L5+L6+L11+L12+L19+L20+L21+L22</f>
        <v>2408942</v>
      </c>
    </row>
    <row r="24" spans="1:12" ht="12.75" customHeight="1" x14ac:dyDescent="0.3">
      <c r="A24" s="325" t="s">
        <v>21</v>
      </c>
      <c r="B24" s="23" t="s">
        <v>445</v>
      </c>
      <c r="C24" s="327">
        <v>350000000</v>
      </c>
      <c r="D24" s="327">
        <v>350000000</v>
      </c>
      <c r="E24" s="327">
        <v>0</v>
      </c>
      <c r="F24" s="327">
        <v>0</v>
      </c>
      <c r="G24" s="327">
        <v>0</v>
      </c>
      <c r="H24" s="327">
        <v>0</v>
      </c>
      <c r="I24" s="328">
        <f t="shared" si="0"/>
        <v>350000000</v>
      </c>
      <c r="J24" s="328">
        <f t="shared" si="0"/>
        <v>350000000</v>
      </c>
      <c r="K24" s="299">
        <v>206547</v>
      </c>
      <c r="L24" s="299">
        <v>393453</v>
      </c>
    </row>
    <row r="25" spans="1:12" s="221" customFormat="1" ht="12.75" customHeight="1" x14ac:dyDescent="0.3">
      <c r="A25" s="325"/>
      <c r="B25" s="23" t="s">
        <v>446</v>
      </c>
      <c r="C25" s="327">
        <f>+'2. önkorm.bevkiad'!C25</f>
        <v>0</v>
      </c>
      <c r="D25" s="332">
        <f>+'2. önkorm.bevkiad'!D25</f>
        <v>300000000</v>
      </c>
      <c r="E25" s="327"/>
      <c r="F25" s="327"/>
      <c r="G25" s="327"/>
      <c r="H25" s="327"/>
      <c r="I25" s="328">
        <f t="shared" ref="I25:I37" si="2">C25+E25+G25</f>
        <v>0</v>
      </c>
      <c r="J25" s="328">
        <f t="shared" ref="J25:J37" si="3">D25+F25+H25</f>
        <v>300000000</v>
      </c>
      <c r="K25" s="299"/>
      <c r="L25" s="299"/>
    </row>
    <row r="26" spans="1:12" ht="12.75" customHeight="1" x14ac:dyDescent="0.3">
      <c r="A26" s="325" t="s">
        <v>22</v>
      </c>
      <c r="B26" s="326" t="s">
        <v>95</v>
      </c>
      <c r="C26" s="327">
        <v>0</v>
      </c>
      <c r="D26" s="332">
        <v>0</v>
      </c>
      <c r="E26" s="327">
        <v>0</v>
      </c>
      <c r="F26" s="327">
        <v>0</v>
      </c>
      <c r="G26" s="327">
        <v>0</v>
      </c>
      <c r="H26" s="327">
        <v>0</v>
      </c>
      <c r="I26" s="328">
        <f t="shared" si="2"/>
        <v>0</v>
      </c>
      <c r="J26" s="328">
        <f t="shared" si="3"/>
        <v>0</v>
      </c>
      <c r="K26" s="362"/>
      <c r="L26" s="361"/>
    </row>
    <row r="27" spans="1:12" ht="12.75" customHeight="1" x14ac:dyDescent="0.3">
      <c r="A27" s="325" t="s">
        <v>23</v>
      </c>
      <c r="B27" s="326" t="s">
        <v>96</v>
      </c>
      <c r="C27" s="327">
        <f>+'2. önkorm.bevkiad'!C27</f>
        <v>326000000</v>
      </c>
      <c r="D27" s="332">
        <f>+'2. önkorm.bevkiad'!D27+'3-10 önálló int.be-ki.'!CF16</f>
        <v>270834939</v>
      </c>
      <c r="E27" s="327">
        <v>0</v>
      </c>
      <c r="F27" s="327">
        <v>0</v>
      </c>
      <c r="G27" s="327">
        <v>0</v>
      </c>
      <c r="H27" s="327">
        <v>0</v>
      </c>
      <c r="I27" s="328">
        <f t="shared" si="2"/>
        <v>326000000</v>
      </c>
      <c r="J27" s="328">
        <f t="shared" si="3"/>
        <v>270834939</v>
      </c>
      <c r="K27" s="299">
        <v>726039</v>
      </c>
      <c r="L27" s="299">
        <v>690049</v>
      </c>
    </row>
    <row r="28" spans="1:12" ht="12.75" customHeight="1" x14ac:dyDescent="0.3">
      <c r="A28" s="325" t="s">
        <v>24</v>
      </c>
      <c r="B28" s="326" t="s">
        <v>97</v>
      </c>
      <c r="C28" s="327">
        <v>1080936000</v>
      </c>
      <c r="D28" s="332">
        <v>1070381689</v>
      </c>
      <c r="E28" s="327">
        <v>0</v>
      </c>
      <c r="F28" s="327">
        <v>0</v>
      </c>
      <c r="G28" s="327">
        <v>0</v>
      </c>
      <c r="H28" s="327">
        <v>0</v>
      </c>
      <c r="I28" s="328">
        <f t="shared" si="2"/>
        <v>1080936000</v>
      </c>
      <c r="J28" s="328">
        <f t="shared" si="3"/>
        <v>1070381689</v>
      </c>
      <c r="K28" s="299">
        <v>951533</v>
      </c>
      <c r="L28" s="299">
        <v>850269</v>
      </c>
    </row>
    <row r="29" spans="1:12" ht="12.75" customHeight="1" x14ac:dyDescent="0.3">
      <c r="A29" s="325"/>
      <c r="B29" s="326" t="s">
        <v>98</v>
      </c>
      <c r="C29" s="327">
        <v>1080936000</v>
      </c>
      <c r="D29" s="332">
        <v>1070381689</v>
      </c>
      <c r="E29" s="327">
        <v>0</v>
      </c>
      <c r="F29" s="327">
        <v>0</v>
      </c>
      <c r="G29" s="327">
        <v>0</v>
      </c>
      <c r="H29" s="327">
        <v>0</v>
      </c>
      <c r="I29" s="328">
        <f t="shared" si="2"/>
        <v>1080936000</v>
      </c>
      <c r="J29" s="328">
        <f t="shared" si="3"/>
        <v>1070381689</v>
      </c>
      <c r="K29" s="299">
        <v>951533</v>
      </c>
      <c r="L29" s="299">
        <v>850269</v>
      </c>
    </row>
    <row r="30" spans="1:12" ht="12.75" customHeight="1" x14ac:dyDescent="0.3">
      <c r="A30" s="331"/>
      <c r="B30" s="326" t="s">
        <v>244</v>
      </c>
      <c r="C30" s="327">
        <v>0</v>
      </c>
      <c r="D30" s="332">
        <v>0</v>
      </c>
      <c r="E30" s="327">
        <v>0</v>
      </c>
      <c r="F30" s="327">
        <v>0</v>
      </c>
      <c r="G30" s="327">
        <v>0</v>
      </c>
      <c r="H30" s="327">
        <v>0</v>
      </c>
      <c r="I30" s="328">
        <f t="shared" si="2"/>
        <v>0</v>
      </c>
      <c r="J30" s="328">
        <f t="shared" si="3"/>
        <v>0</v>
      </c>
      <c r="K30" s="362"/>
      <c r="L30" s="361"/>
    </row>
    <row r="31" spans="1:12" ht="12.75" customHeight="1" x14ac:dyDescent="0.3">
      <c r="A31" s="325" t="s">
        <v>25</v>
      </c>
      <c r="B31" s="326" t="s">
        <v>382</v>
      </c>
      <c r="C31" s="327">
        <v>0</v>
      </c>
      <c r="D31" s="332">
        <v>0</v>
      </c>
      <c r="E31" s="327">
        <v>0</v>
      </c>
      <c r="F31" s="327">
        <v>0</v>
      </c>
      <c r="G31" s="327">
        <v>0</v>
      </c>
      <c r="H31" s="327">
        <v>0</v>
      </c>
      <c r="I31" s="328">
        <f t="shared" si="2"/>
        <v>0</v>
      </c>
      <c r="J31" s="328">
        <f t="shared" si="3"/>
        <v>0</v>
      </c>
      <c r="K31" s="299">
        <v>32462</v>
      </c>
      <c r="L31" s="299">
        <v>28757</v>
      </c>
    </row>
    <row r="32" spans="1:12" ht="12.75" customHeight="1" x14ac:dyDescent="0.3">
      <c r="A32" s="325" t="s">
        <v>26</v>
      </c>
      <c r="B32" s="326" t="s">
        <v>100</v>
      </c>
      <c r="C32" s="327">
        <v>0</v>
      </c>
      <c r="D32" s="332">
        <v>0</v>
      </c>
      <c r="E32" s="327">
        <v>0</v>
      </c>
      <c r="F32" s="327">
        <v>0</v>
      </c>
      <c r="G32" s="327">
        <v>0</v>
      </c>
      <c r="H32" s="327">
        <v>0</v>
      </c>
      <c r="I32" s="328">
        <f t="shared" si="2"/>
        <v>0</v>
      </c>
      <c r="J32" s="328">
        <f t="shared" si="3"/>
        <v>0</v>
      </c>
      <c r="K32" s="362"/>
      <c r="L32" s="361"/>
    </row>
    <row r="33" spans="1:13" s="220" customFormat="1" ht="12.75" customHeight="1" x14ac:dyDescent="0.3">
      <c r="A33" s="329" t="s">
        <v>27</v>
      </c>
      <c r="B33" s="330" t="s">
        <v>101</v>
      </c>
      <c r="C33" s="569">
        <f t="shared" ref="C33" si="4">C24+C25+C26+C27+C28+C31+C32</f>
        <v>1756936000</v>
      </c>
      <c r="D33" s="569">
        <f>D24+D25+D26+D27+D28+D31+D32</f>
        <v>1991216628</v>
      </c>
      <c r="E33" s="569">
        <f t="shared" ref="E33:I33" si="5">E24+E25+E26+E27+E28+E31+E32</f>
        <v>0</v>
      </c>
      <c r="F33" s="569">
        <f t="shared" si="5"/>
        <v>0</v>
      </c>
      <c r="G33" s="569">
        <f t="shared" si="5"/>
        <v>0</v>
      </c>
      <c r="H33" s="569">
        <f t="shared" si="5"/>
        <v>0</v>
      </c>
      <c r="I33" s="569">
        <f t="shared" si="5"/>
        <v>1756936000</v>
      </c>
      <c r="J33" s="569">
        <f>SUM(J24:J28)</f>
        <v>1991216628</v>
      </c>
      <c r="K33" s="299">
        <f>K24+K26+K27+K28+K31+K32</f>
        <v>1916581</v>
      </c>
      <c r="L33" s="300">
        <f>L24+L26+L27+L28+L31+L32</f>
        <v>1962528</v>
      </c>
    </row>
    <row r="34" spans="1:13" s="220" customFormat="1" ht="12.75" customHeight="1" x14ac:dyDescent="0.3">
      <c r="A34" s="329" t="s">
        <v>28</v>
      </c>
      <c r="B34" s="330" t="s">
        <v>102</v>
      </c>
      <c r="C34" s="328">
        <f t="shared" ref="C34:H34" si="6">C23+C33</f>
        <v>5027101000</v>
      </c>
      <c r="D34" s="328">
        <f>D23+D33</f>
        <v>4745403065</v>
      </c>
      <c r="E34" s="328">
        <f t="shared" si="6"/>
        <v>99856000</v>
      </c>
      <c r="F34" s="328">
        <f t="shared" si="6"/>
        <v>98093500</v>
      </c>
      <c r="G34" s="328">
        <f t="shared" si="6"/>
        <v>0</v>
      </c>
      <c r="H34" s="328">
        <f t="shared" si="6"/>
        <v>0</v>
      </c>
      <c r="I34" s="328">
        <f t="shared" si="2"/>
        <v>5126957000</v>
      </c>
      <c r="J34" s="328">
        <f t="shared" si="3"/>
        <v>4843496565</v>
      </c>
      <c r="K34" s="299">
        <f>K23+K33</f>
        <v>4549691</v>
      </c>
      <c r="L34" s="300">
        <f>L23+L33</f>
        <v>4371470</v>
      </c>
    </row>
    <row r="35" spans="1:13" ht="12.75" customHeight="1" x14ac:dyDescent="0.3">
      <c r="A35" s="325" t="s">
        <v>29</v>
      </c>
      <c r="B35" s="326" t="s">
        <v>103</v>
      </c>
      <c r="C35" s="327">
        <v>1080936000</v>
      </c>
      <c r="D35" s="327">
        <v>1070381689</v>
      </c>
      <c r="E35" s="327">
        <v>0</v>
      </c>
      <c r="F35" s="327">
        <v>0</v>
      </c>
      <c r="G35" s="327">
        <v>0</v>
      </c>
      <c r="H35" s="327">
        <v>0</v>
      </c>
      <c r="I35" s="328">
        <f t="shared" si="2"/>
        <v>1080936000</v>
      </c>
      <c r="J35" s="328">
        <f t="shared" si="3"/>
        <v>1070381689</v>
      </c>
      <c r="K35" s="299">
        <v>951533</v>
      </c>
      <c r="L35" s="299">
        <v>850269</v>
      </c>
    </row>
    <row r="36" spans="1:13" ht="12.75" customHeight="1" x14ac:dyDescent="0.3">
      <c r="A36" s="331" t="s">
        <v>30</v>
      </c>
      <c r="B36" s="326" t="s">
        <v>245</v>
      </c>
      <c r="C36" s="332">
        <v>0</v>
      </c>
      <c r="D36" s="332">
        <v>0</v>
      </c>
      <c r="E36" s="333"/>
      <c r="F36" s="333"/>
      <c r="G36" s="333"/>
      <c r="H36" s="333"/>
      <c r="I36" s="328">
        <f t="shared" si="2"/>
        <v>0</v>
      </c>
      <c r="J36" s="328">
        <f t="shared" si="3"/>
        <v>0</v>
      </c>
      <c r="K36" s="362"/>
      <c r="L36" s="361"/>
    </row>
    <row r="37" spans="1:13" ht="15" customHeight="1" x14ac:dyDescent="0.3">
      <c r="A37" s="325" t="s">
        <v>243</v>
      </c>
      <c r="B37" s="330" t="s">
        <v>72</v>
      </c>
      <c r="C37" s="328">
        <f>C34-C35-C36</f>
        <v>3946165000</v>
      </c>
      <c r="D37" s="328">
        <f>D34-D35-D36</f>
        <v>3675021376</v>
      </c>
      <c r="E37" s="328">
        <f>E34-E35</f>
        <v>99856000</v>
      </c>
      <c r="F37" s="328">
        <f>F34-F35</f>
        <v>98093500</v>
      </c>
      <c r="G37" s="328">
        <f>G34-G35</f>
        <v>0</v>
      </c>
      <c r="H37" s="328">
        <f>H34-H35</f>
        <v>0</v>
      </c>
      <c r="I37" s="328">
        <f t="shared" si="2"/>
        <v>4046021000</v>
      </c>
      <c r="J37" s="328">
        <f t="shared" si="3"/>
        <v>3773114876</v>
      </c>
      <c r="K37" s="299">
        <f>K34-K35-K36</f>
        <v>3598158</v>
      </c>
      <c r="L37" s="300">
        <f>L34-L35-L36</f>
        <v>3521201</v>
      </c>
    </row>
    <row r="38" spans="1:13" ht="30" customHeight="1" x14ac:dyDescent="0.3">
      <c r="A38" s="126"/>
      <c r="B38" s="56"/>
      <c r="C38" s="57"/>
      <c r="D38" s="57"/>
      <c r="E38" s="57"/>
      <c r="F38" s="57"/>
      <c r="G38" s="57"/>
      <c r="H38" s="57"/>
      <c r="I38" s="57"/>
      <c r="J38" s="57"/>
    </row>
    <row r="39" spans="1:13" ht="12.75" customHeight="1" x14ac:dyDescent="0.3">
      <c r="B39" s="394" t="s">
        <v>6</v>
      </c>
      <c r="C39" s="62"/>
      <c r="D39" s="62"/>
      <c r="I39" s="19" t="s">
        <v>418</v>
      </c>
      <c r="J39" s="64"/>
    </row>
    <row r="40" spans="1:13" ht="48" x14ac:dyDescent="0.3">
      <c r="A40" s="283" t="s">
        <v>31</v>
      </c>
      <c r="B40" s="284" t="s">
        <v>32</v>
      </c>
      <c r="C40" s="284" t="s">
        <v>436</v>
      </c>
      <c r="D40" s="284" t="s">
        <v>440</v>
      </c>
      <c r="E40" s="284" t="s">
        <v>437</v>
      </c>
      <c r="F40" s="284" t="s">
        <v>441</v>
      </c>
      <c r="G40" s="284" t="s">
        <v>438</v>
      </c>
      <c r="H40" s="284" t="s">
        <v>442</v>
      </c>
      <c r="I40" s="284" t="s">
        <v>439</v>
      </c>
      <c r="J40" s="284" t="s">
        <v>443</v>
      </c>
      <c r="K40" s="301" t="s">
        <v>456</v>
      </c>
      <c r="L40" s="301" t="s">
        <v>455</v>
      </c>
    </row>
    <row r="41" spans="1:13" s="220" customFormat="1" ht="12.75" customHeight="1" x14ac:dyDescent="0.3">
      <c r="A41" s="559" t="s">
        <v>12</v>
      </c>
      <c r="B41" s="560" t="s">
        <v>104</v>
      </c>
      <c r="C41" s="561">
        <f>C42+C43+C44+C45+C46+C50</f>
        <v>2265743000</v>
      </c>
      <c r="D41" s="561">
        <f>D42+D43+D44+D45+D46+D50</f>
        <v>2300130884</v>
      </c>
      <c r="E41" s="561">
        <f t="shared" ref="E41:H41" si="7">E42+E43+E44+E45+E46+E50</f>
        <v>99856000</v>
      </c>
      <c r="F41" s="561">
        <f t="shared" si="7"/>
        <v>98093500</v>
      </c>
      <c r="G41" s="561">
        <f t="shared" si="7"/>
        <v>0</v>
      </c>
      <c r="H41" s="561">
        <f t="shared" si="7"/>
        <v>0</v>
      </c>
      <c r="I41" s="328">
        <f>C41+E41+G41</f>
        <v>2365599000</v>
      </c>
      <c r="J41" s="328">
        <f>D41+F41+H41</f>
        <v>2398224384</v>
      </c>
      <c r="K41" s="299">
        <f>SUM(K42:K46)</f>
        <v>2275443</v>
      </c>
      <c r="L41" s="300">
        <f>SUM(L42:L46)</f>
        <v>1943749</v>
      </c>
    </row>
    <row r="42" spans="1:13" ht="12.75" customHeight="1" x14ac:dyDescent="0.3">
      <c r="A42" s="325" t="s">
        <v>60</v>
      </c>
      <c r="B42" s="326" t="s">
        <v>7</v>
      </c>
      <c r="C42" s="327">
        <f>+'2. önkorm.bevkiad'!C39+'3-10 önálló int.be-ki.'!CE26</f>
        <v>814708000</v>
      </c>
      <c r="D42" s="327">
        <f>+'2. önkorm.bevkiad'!D39+'3-10 önálló int.be-ki.'!CF26</f>
        <v>826648453</v>
      </c>
      <c r="E42" s="327">
        <f>+'2. önkorm.bevkiad'!E39+'3-10 önálló int.be-ki.'!CG26</f>
        <v>0</v>
      </c>
      <c r="F42" s="327">
        <f>+'2. önkorm.bevkiad'!F39+'3-10 önálló int.be-ki.'!CH26</f>
        <v>0</v>
      </c>
      <c r="G42" s="327">
        <f>+'2. önkorm.bevkiad'!G39+'3-10 önálló int.be-ki.'!CI26</f>
        <v>0</v>
      </c>
      <c r="H42" s="327">
        <f>+'2. önkorm.bevkiad'!H39+'3-10 önálló int.be-ki.'!CJ26</f>
        <v>0</v>
      </c>
      <c r="I42" s="328">
        <f t="shared" ref="I42:J61" si="8">C42+E42+G42</f>
        <v>814708000</v>
      </c>
      <c r="J42" s="328">
        <f t="shared" si="8"/>
        <v>826648453</v>
      </c>
      <c r="K42" s="299">
        <v>746693</v>
      </c>
      <c r="L42" s="299">
        <v>659592</v>
      </c>
      <c r="M42" s="17"/>
    </row>
    <row r="43" spans="1:13" ht="12.75" customHeight="1" x14ac:dyDescent="0.3">
      <c r="A43" s="325" t="s">
        <v>61</v>
      </c>
      <c r="B43" s="326" t="s">
        <v>108</v>
      </c>
      <c r="C43" s="327">
        <f>+'2. önkorm.bevkiad'!C40+'3-10 önálló int.be-ki.'!CE27</f>
        <v>151832000</v>
      </c>
      <c r="D43" s="327">
        <f>+'2. önkorm.bevkiad'!D40+'3-10 önálló int.be-ki.'!CF27</f>
        <v>154332000</v>
      </c>
      <c r="E43" s="327">
        <f>+'2. önkorm.bevkiad'!E40+'3-10 önálló int.be-ki.'!CG27</f>
        <v>0</v>
      </c>
      <c r="F43" s="327">
        <f>+'2. önkorm.bevkiad'!F40+'3-10 önálló int.be-ki.'!CH27</f>
        <v>0</v>
      </c>
      <c r="G43" s="327">
        <f>+'2. önkorm.bevkiad'!G40+'3-10 önálló int.be-ki.'!CI27</f>
        <v>0</v>
      </c>
      <c r="H43" s="327">
        <f>+'2. önkorm.bevkiad'!H40+'3-10 önálló int.be-ki.'!CJ27</f>
        <v>0</v>
      </c>
      <c r="I43" s="328">
        <f t="shared" si="8"/>
        <v>151832000</v>
      </c>
      <c r="J43" s="328">
        <f t="shared" si="8"/>
        <v>154332000</v>
      </c>
      <c r="K43" s="299">
        <v>143271</v>
      </c>
      <c r="L43" s="299">
        <v>131958</v>
      </c>
    </row>
    <row r="44" spans="1:13" ht="12.75" customHeight="1" x14ac:dyDescent="0.3">
      <c r="A44" s="325" t="s">
        <v>62</v>
      </c>
      <c r="B44" s="326" t="s">
        <v>109</v>
      </c>
      <c r="C44" s="327">
        <f>+'2. önkorm.bevkiad'!C41+'3-10 önálló int.be-ki.'!CE28</f>
        <v>699265000</v>
      </c>
      <c r="D44" s="327">
        <f>+'2. önkorm.bevkiad'!D41+'3-10 önálló int.be-ki.'!CF28</f>
        <v>717910894</v>
      </c>
      <c r="E44" s="327">
        <f>+'2. önkorm.bevkiad'!E41+'3-10 önálló int.be-ki.'!CG28</f>
        <v>0</v>
      </c>
      <c r="F44" s="327">
        <f>+'2. önkorm.bevkiad'!F41+'3-10 önálló int.be-ki.'!CH28</f>
        <v>0</v>
      </c>
      <c r="G44" s="327">
        <f>+'2. önkorm.bevkiad'!G41+'3-10 önálló int.be-ki.'!CI28</f>
        <v>0</v>
      </c>
      <c r="H44" s="327">
        <f>+'2. önkorm.bevkiad'!H41+'3-10 önálló int.be-ki.'!CJ28</f>
        <v>0</v>
      </c>
      <c r="I44" s="328">
        <f t="shared" si="8"/>
        <v>699265000</v>
      </c>
      <c r="J44" s="328">
        <f t="shared" si="8"/>
        <v>717910894</v>
      </c>
      <c r="K44" s="299">
        <v>802469</v>
      </c>
      <c r="L44" s="299">
        <v>630274</v>
      </c>
    </row>
    <row r="45" spans="1:13" ht="12.75" customHeight="1" x14ac:dyDescent="0.3">
      <c r="A45" s="325" t="s">
        <v>63</v>
      </c>
      <c r="B45" s="326" t="s">
        <v>110</v>
      </c>
      <c r="C45" s="41">
        <v>0</v>
      </c>
      <c r="D45" s="41">
        <v>0</v>
      </c>
      <c r="E45" s="41">
        <v>17000000</v>
      </c>
      <c r="F45" s="445">
        <f>17000000+2237500</f>
        <v>19237500</v>
      </c>
      <c r="G45" s="327">
        <v>0</v>
      </c>
      <c r="H45" s="327">
        <v>0</v>
      </c>
      <c r="I45" s="328">
        <f t="shared" si="8"/>
        <v>17000000</v>
      </c>
      <c r="J45" s="328">
        <f t="shared" si="8"/>
        <v>19237500</v>
      </c>
      <c r="K45" s="299">
        <v>16550</v>
      </c>
      <c r="L45" s="299">
        <v>14001</v>
      </c>
    </row>
    <row r="46" spans="1:13" ht="12.75" customHeight="1" x14ac:dyDescent="0.3">
      <c r="A46" s="325" t="s">
        <v>64</v>
      </c>
      <c r="B46" s="326" t="s">
        <v>111</v>
      </c>
      <c r="C46" s="41">
        <f>C48+C49+C47</f>
        <v>485938000</v>
      </c>
      <c r="D46" s="41">
        <f>D48+D49+D47</f>
        <v>506549817</v>
      </c>
      <c r="E46" s="41">
        <f>E48+E49</f>
        <v>82856000</v>
      </c>
      <c r="F46" s="41">
        <f>F48+F49</f>
        <v>78856000</v>
      </c>
      <c r="G46" s="327">
        <f>G48+G49</f>
        <v>0</v>
      </c>
      <c r="H46" s="327">
        <f>H48+H49</f>
        <v>0</v>
      </c>
      <c r="I46" s="328">
        <f t="shared" si="8"/>
        <v>568794000</v>
      </c>
      <c r="J46" s="328">
        <f t="shared" si="8"/>
        <v>585405817</v>
      </c>
      <c r="K46" s="299">
        <f>SUM(K47:K49)</f>
        <v>566460</v>
      </c>
      <c r="L46" s="299">
        <v>507924</v>
      </c>
    </row>
    <row r="47" spans="1:13" s="566" customFormat="1" ht="12.75" customHeight="1" x14ac:dyDescent="0.3">
      <c r="A47" s="562" t="s">
        <v>105</v>
      </c>
      <c r="B47" s="563" t="s">
        <v>453</v>
      </c>
      <c r="C47" s="205">
        <v>6755000</v>
      </c>
      <c r="D47" s="205">
        <v>6755000</v>
      </c>
      <c r="E47" s="205">
        <v>0</v>
      </c>
      <c r="F47" s="205">
        <v>0</v>
      </c>
      <c r="G47" s="564">
        <v>0</v>
      </c>
      <c r="H47" s="564">
        <v>0</v>
      </c>
      <c r="I47" s="565">
        <f t="shared" si="8"/>
        <v>6755000</v>
      </c>
      <c r="J47" s="565">
        <f t="shared" si="8"/>
        <v>6755000</v>
      </c>
      <c r="K47" s="299">
        <v>9662</v>
      </c>
      <c r="L47" s="299"/>
    </row>
    <row r="48" spans="1:13" s="566" customFormat="1" ht="12.75" customHeight="1" x14ac:dyDescent="0.3">
      <c r="A48" s="567" t="s">
        <v>106</v>
      </c>
      <c r="B48" s="563" t="s">
        <v>112</v>
      </c>
      <c r="C48" s="205">
        <v>241272000</v>
      </c>
      <c r="D48" s="205">
        <v>241272000</v>
      </c>
      <c r="E48" s="205">
        <v>49356000</v>
      </c>
      <c r="F48" s="205">
        <v>43756000</v>
      </c>
      <c r="G48" s="564">
        <v>0</v>
      </c>
      <c r="H48" s="564">
        <v>0</v>
      </c>
      <c r="I48" s="565">
        <f t="shared" si="8"/>
        <v>290628000</v>
      </c>
      <c r="J48" s="565">
        <f t="shared" si="8"/>
        <v>285028000</v>
      </c>
      <c r="K48" s="299">
        <v>302896</v>
      </c>
      <c r="L48" s="299">
        <v>275129</v>
      </c>
    </row>
    <row r="49" spans="1:12" s="566" customFormat="1" ht="12.75" customHeight="1" x14ac:dyDescent="0.3">
      <c r="A49" s="567" t="s">
        <v>398</v>
      </c>
      <c r="B49" s="563" t="s">
        <v>113</v>
      </c>
      <c r="C49" s="205">
        <v>237911000</v>
      </c>
      <c r="D49" s="205">
        <f>237911000+20611817</f>
        <v>258522817</v>
      </c>
      <c r="E49" s="205">
        <v>33500000</v>
      </c>
      <c r="F49" s="205">
        <v>35100000</v>
      </c>
      <c r="G49" s="564">
        <v>0</v>
      </c>
      <c r="H49" s="564">
        <v>0</v>
      </c>
      <c r="I49" s="565">
        <f t="shared" si="8"/>
        <v>271411000</v>
      </c>
      <c r="J49" s="565">
        <f t="shared" si="8"/>
        <v>293622817</v>
      </c>
      <c r="K49" s="299">
        <v>253902</v>
      </c>
      <c r="L49" s="299">
        <v>228593</v>
      </c>
    </row>
    <row r="50" spans="1:12" ht="12.75" customHeight="1" x14ac:dyDescent="0.3">
      <c r="A50" s="334" t="s">
        <v>107</v>
      </c>
      <c r="B50" s="326" t="s">
        <v>9</v>
      </c>
      <c r="C50" s="41">
        <v>114000000</v>
      </c>
      <c r="D50" s="41">
        <v>94689720</v>
      </c>
      <c r="E50" s="41">
        <v>0</v>
      </c>
      <c r="F50" s="41">
        <v>0</v>
      </c>
      <c r="G50" s="327">
        <v>0</v>
      </c>
      <c r="H50" s="327">
        <v>0</v>
      </c>
      <c r="I50" s="328">
        <f t="shared" si="8"/>
        <v>114000000</v>
      </c>
      <c r="J50" s="328">
        <f t="shared" si="8"/>
        <v>94689720</v>
      </c>
      <c r="K50" s="362">
        <v>0</v>
      </c>
      <c r="L50" s="361">
        <v>0</v>
      </c>
    </row>
    <row r="51" spans="1:12" s="566" customFormat="1" ht="12.75" customHeight="1" x14ac:dyDescent="0.3">
      <c r="A51" s="567"/>
      <c r="B51" s="563" t="s">
        <v>286</v>
      </c>
      <c r="C51" s="205">
        <v>87000000</v>
      </c>
      <c r="D51" s="205">
        <v>64886220</v>
      </c>
      <c r="E51" s="205"/>
      <c r="F51" s="205"/>
      <c r="G51" s="564"/>
      <c r="H51" s="564"/>
      <c r="I51" s="565">
        <v>87000</v>
      </c>
      <c r="J51" s="565">
        <v>87001</v>
      </c>
      <c r="K51" s="299">
        <v>0</v>
      </c>
      <c r="L51" s="299">
        <v>0</v>
      </c>
    </row>
    <row r="52" spans="1:12" s="220" customFormat="1" ht="12.75" customHeight="1" x14ac:dyDescent="0.3">
      <c r="A52" s="568" t="s">
        <v>13</v>
      </c>
      <c r="B52" s="330" t="s">
        <v>114</v>
      </c>
      <c r="C52" s="328">
        <f>SUM(C53:C55)</f>
        <v>1586753000</v>
      </c>
      <c r="D52" s="328">
        <f>SUM(D53:D55)</f>
        <v>996276350</v>
      </c>
      <c r="E52" s="328">
        <f>E53+E54+E55</f>
        <v>0</v>
      </c>
      <c r="F52" s="328">
        <f>F53+F54+F55</f>
        <v>0</v>
      </c>
      <c r="G52" s="328">
        <f>G53+G54+G55</f>
        <v>0</v>
      </c>
      <c r="H52" s="328">
        <f>H53+H54+H55</f>
        <v>0</v>
      </c>
      <c r="I52" s="328">
        <f t="shared" si="8"/>
        <v>1586753000</v>
      </c>
      <c r="J52" s="328">
        <f t="shared" si="8"/>
        <v>996276350</v>
      </c>
      <c r="K52" s="299">
        <f>+K53+K54+K55</f>
        <v>878149</v>
      </c>
      <c r="L52" s="300">
        <v>826719</v>
      </c>
    </row>
    <row r="53" spans="1:12" ht="12.75" customHeight="1" x14ac:dyDescent="0.3">
      <c r="A53" s="334" t="s">
        <v>55</v>
      </c>
      <c r="B53" s="326" t="s">
        <v>10</v>
      </c>
      <c r="C53" s="327">
        <f>+'2. önkorm.bevkiad'!C50+'3-10 önálló int.be-ki.'!CE33</f>
        <v>1461753000</v>
      </c>
      <c r="D53" s="327">
        <f>+'2. önkorm.bevkiad'!D50+'3-10 önálló int.be-ki.'!CF33</f>
        <v>802761350</v>
      </c>
      <c r="E53" s="327">
        <f>+'2. önkorm.bevkiad'!E50+'3-10 önálló int.be-ki.'!CG33</f>
        <v>0</v>
      </c>
      <c r="F53" s="327">
        <f>+'2. önkorm.bevkiad'!F50+'3-10 önálló int.be-ki.'!CH33</f>
        <v>0</v>
      </c>
      <c r="G53" s="327">
        <f>+'2. önkorm.bevkiad'!G50+'3-10 önálló int.be-ki.'!CI33</f>
        <v>0</v>
      </c>
      <c r="H53" s="327">
        <f>+'2. önkorm.bevkiad'!H50+'3-10 önálló int.be-ki.'!CJ33</f>
        <v>0</v>
      </c>
      <c r="I53" s="328">
        <f t="shared" si="8"/>
        <v>1461753000</v>
      </c>
      <c r="J53" s="328">
        <f t="shared" si="8"/>
        <v>802761350</v>
      </c>
      <c r="K53" s="299">
        <v>684753</v>
      </c>
      <c r="L53" s="299">
        <v>443164</v>
      </c>
    </row>
    <row r="54" spans="1:12" ht="12.75" customHeight="1" x14ac:dyDescent="0.3">
      <c r="A54" s="334" t="s">
        <v>56</v>
      </c>
      <c r="B54" s="326" t="s">
        <v>11</v>
      </c>
      <c r="C54" s="327">
        <f>+'2. önkorm.bevkiad'!C51+'3-10 önálló int.be-ki.'!CE34</f>
        <v>125000000</v>
      </c>
      <c r="D54" s="327">
        <f>+'2. önkorm.bevkiad'!D51+'3-10 önálló int.be-ki.'!CF34</f>
        <v>193515000</v>
      </c>
      <c r="E54" s="327">
        <f>+'2. önkorm.bevkiad'!E51+'3-10 önálló int.be-ki.'!CG34</f>
        <v>0</v>
      </c>
      <c r="F54" s="327">
        <f>+'2. önkorm.bevkiad'!F51+'3-10 önálló int.be-ki.'!CH34</f>
        <v>0</v>
      </c>
      <c r="G54" s="327">
        <f>+'2. önkorm.bevkiad'!G51+'3-10 önálló int.be-ki.'!CI34</f>
        <v>0</v>
      </c>
      <c r="H54" s="327">
        <f>+'2. önkorm.bevkiad'!H51+'3-10 önálló int.be-ki.'!CJ34</f>
        <v>0</v>
      </c>
      <c r="I54" s="328">
        <f t="shared" si="8"/>
        <v>125000000</v>
      </c>
      <c r="J54" s="328">
        <f t="shared" si="8"/>
        <v>193515000</v>
      </c>
      <c r="K54" s="299">
        <v>193396</v>
      </c>
      <c r="L54" s="361">
        <v>360407</v>
      </c>
    </row>
    <row r="55" spans="1:12" ht="12.75" customHeight="1" x14ac:dyDescent="0.3">
      <c r="A55" s="334" t="s">
        <v>65</v>
      </c>
      <c r="B55" s="326" t="s">
        <v>115</v>
      </c>
      <c r="C55" s="327">
        <v>0</v>
      </c>
      <c r="D55" s="327">
        <v>0</v>
      </c>
      <c r="E55" s="327">
        <v>0</v>
      </c>
      <c r="F55" s="327">
        <v>0</v>
      </c>
      <c r="G55" s="327">
        <v>0</v>
      </c>
      <c r="H55" s="327">
        <v>0</v>
      </c>
      <c r="I55" s="328">
        <f t="shared" si="8"/>
        <v>0</v>
      </c>
      <c r="J55" s="328">
        <f t="shared" si="8"/>
        <v>0</v>
      </c>
      <c r="K55" s="299">
        <v>0</v>
      </c>
      <c r="L55" s="361">
        <v>23148</v>
      </c>
    </row>
    <row r="56" spans="1:12" ht="12.75" customHeight="1" x14ac:dyDescent="0.3">
      <c r="A56" s="334" t="s">
        <v>14</v>
      </c>
      <c r="B56" s="330" t="s">
        <v>116</v>
      </c>
      <c r="C56" s="327">
        <f t="shared" ref="C56:H56" si="9">C41+C52</f>
        <v>3852496000</v>
      </c>
      <c r="D56" s="327">
        <f>D41+D52</f>
        <v>3296407234</v>
      </c>
      <c r="E56" s="327">
        <f t="shared" si="9"/>
        <v>99856000</v>
      </c>
      <c r="F56" s="327">
        <f t="shared" si="9"/>
        <v>98093500</v>
      </c>
      <c r="G56" s="327">
        <f t="shared" si="9"/>
        <v>0</v>
      </c>
      <c r="H56" s="327">
        <f t="shared" si="9"/>
        <v>0</v>
      </c>
      <c r="I56" s="328">
        <f t="shared" si="8"/>
        <v>3952352000</v>
      </c>
      <c r="J56" s="328">
        <f t="shared" si="8"/>
        <v>3394500734</v>
      </c>
      <c r="K56" s="299">
        <f>K41+K52</f>
        <v>3153592</v>
      </c>
      <c r="L56" s="300">
        <f>L41+L52</f>
        <v>2770468</v>
      </c>
    </row>
    <row r="57" spans="1:12" ht="12.75" customHeight="1" x14ac:dyDescent="0.3">
      <c r="A57" s="325" t="s">
        <v>15</v>
      </c>
      <c r="B57" s="23" t="s">
        <v>447</v>
      </c>
      <c r="C57" s="327">
        <v>61368000</v>
      </c>
      <c r="D57" s="327">
        <f>+'2. önkorm.bevkiad'!D54</f>
        <v>46152000</v>
      </c>
      <c r="E57" s="327">
        <v>0</v>
      </c>
      <c r="F57" s="327">
        <v>0</v>
      </c>
      <c r="G57" s="327">
        <v>0</v>
      </c>
      <c r="H57" s="327">
        <v>0</v>
      </c>
      <c r="I57" s="328">
        <f t="shared" si="8"/>
        <v>61368000</v>
      </c>
      <c r="J57" s="328">
        <f t="shared" si="8"/>
        <v>46152000</v>
      </c>
      <c r="K57" s="362">
        <v>46152</v>
      </c>
      <c r="L57" s="361"/>
    </row>
    <row r="58" spans="1:12" s="221" customFormat="1" ht="12.75" customHeight="1" x14ac:dyDescent="0.3">
      <c r="A58" s="325"/>
      <c r="B58" s="23" t="s">
        <v>448</v>
      </c>
      <c r="C58" s="327"/>
      <c r="D58" s="332">
        <f>+'2. önkorm.bevkiad'!D55</f>
        <v>300000000</v>
      </c>
      <c r="E58" s="327"/>
      <c r="F58" s="327"/>
      <c r="G58" s="327"/>
      <c r="H58" s="327"/>
      <c r="I58" s="328">
        <f t="shared" ref="I58" si="10">C58+E58+G58</f>
        <v>0</v>
      </c>
      <c r="J58" s="328">
        <f t="shared" ref="J58" si="11">D58+F58+H58</f>
        <v>300000000</v>
      </c>
      <c r="K58" s="362"/>
      <c r="L58" s="361"/>
    </row>
    <row r="59" spans="1:12" ht="12.75" customHeight="1" x14ac:dyDescent="0.3">
      <c r="A59" s="325" t="s">
        <v>16</v>
      </c>
      <c r="B59" s="23" t="s">
        <v>367</v>
      </c>
      <c r="C59" s="327">
        <v>32301000</v>
      </c>
      <c r="D59" s="332">
        <f>+'2. önkorm.bevkiad'!D56</f>
        <v>32462142</v>
      </c>
      <c r="E59" s="327">
        <v>0</v>
      </c>
      <c r="F59" s="327">
        <v>0</v>
      </c>
      <c r="G59" s="327">
        <v>0</v>
      </c>
      <c r="H59" s="327">
        <v>0</v>
      </c>
      <c r="I59" s="328">
        <f t="shared" si="8"/>
        <v>32301000</v>
      </c>
      <c r="J59" s="328">
        <f t="shared" si="8"/>
        <v>32462142</v>
      </c>
      <c r="K59" s="362">
        <v>28758</v>
      </c>
      <c r="L59" s="299">
        <v>24696</v>
      </c>
    </row>
    <row r="60" spans="1:12" ht="12.75" customHeight="1" x14ac:dyDescent="0.3">
      <c r="A60" s="325" t="s">
        <v>17</v>
      </c>
      <c r="B60" s="326" t="s">
        <v>119</v>
      </c>
      <c r="C60" s="327">
        <v>1080936000</v>
      </c>
      <c r="D60" s="332">
        <v>1070381689</v>
      </c>
      <c r="E60" s="327">
        <v>0</v>
      </c>
      <c r="F60" s="327">
        <v>0</v>
      </c>
      <c r="G60" s="327">
        <v>0</v>
      </c>
      <c r="H60" s="327">
        <v>0</v>
      </c>
      <c r="I60" s="328">
        <f t="shared" si="8"/>
        <v>1080936000</v>
      </c>
      <c r="J60" s="328">
        <f t="shared" si="8"/>
        <v>1070381689</v>
      </c>
      <c r="K60" s="299">
        <v>951533</v>
      </c>
      <c r="L60" s="300">
        <v>850269</v>
      </c>
    </row>
    <row r="61" spans="1:12" ht="12.75" customHeight="1" x14ac:dyDescent="0.3">
      <c r="A61" s="325"/>
      <c r="B61" s="326" t="s">
        <v>247</v>
      </c>
      <c r="C61" s="327">
        <v>1080936000</v>
      </c>
      <c r="D61" s="332">
        <f>+'2. önkorm.bevkiad'!D58</f>
        <v>1070381689</v>
      </c>
      <c r="E61" s="327">
        <v>0</v>
      </c>
      <c r="F61" s="327">
        <v>0</v>
      </c>
      <c r="G61" s="327">
        <v>0</v>
      </c>
      <c r="H61" s="327">
        <v>0</v>
      </c>
      <c r="I61" s="328">
        <f t="shared" si="8"/>
        <v>1080936000</v>
      </c>
      <c r="J61" s="328">
        <f t="shared" si="8"/>
        <v>1070381689</v>
      </c>
      <c r="K61" s="299">
        <v>951533</v>
      </c>
      <c r="L61" s="360">
        <v>850269</v>
      </c>
    </row>
    <row r="62" spans="1:12" ht="12.75" customHeight="1" x14ac:dyDescent="0.3">
      <c r="A62" s="331"/>
      <c r="B62" s="326" t="s">
        <v>246</v>
      </c>
      <c r="C62" s="327">
        <v>0</v>
      </c>
      <c r="D62" s="332">
        <v>0</v>
      </c>
      <c r="E62" s="327">
        <v>0</v>
      </c>
      <c r="F62" s="327">
        <v>0</v>
      </c>
      <c r="G62" s="327">
        <v>0</v>
      </c>
      <c r="H62" s="327">
        <v>0</v>
      </c>
      <c r="I62" s="328">
        <v>0</v>
      </c>
      <c r="J62" s="328">
        <v>0</v>
      </c>
      <c r="K62" s="299"/>
      <c r="L62" s="299"/>
    </row>
    <row r="63" spans="1:12" ht="12.75" customHeight="1" x14ac:dyDescent="0.3">
      <c r="A63" s="325" t="s">
        <v>18</v>
      </c>
      <c r="B63" s="326" t="s">
        <v>121</v>
      </c>
      <c r="C63" s="327">
        <v>0</v>
      </c>
      <c r="D63" s="332">
        <v>0</v>
      </c>
      <c r="E63" s="327">
        <v>0</v>
      </c>
      <c r="F63" s="327">
        <v>0</v>
      </c>
      <c r="G63" s="327">
        <v>0</v>
      </c>
      <c r="H63" s="327">
        <v>0</v>
      </c>
      <c r="I63" s="328">
        <f t="shared" ref="I63:J66" si="12">C63+E63+G63</f>
        <v>0</v>
      </c>
      <c r="J63" s="328">
        <f t="shared" si="12"/>
        <v>0</v>
      </c>
      <c r="K63" s="362"/>
      <c r="L63" s="361"/>
    </row>
    <row r="64" spans="1:12" ht="12.75" customHeight="1" x14ac:dyDescent="0.3">
      <c r="A64" s="325" t="s">
        <v>19</v>
      </c>
      <c r="B64" s="330" t="s">
        <v>122</v>
      </c>
      <c r="C64" s="327">
        <f t="shared" ref="C64" si="13">C57+C58+C59+C60+C63</f>
        <v>1174605000</v>
      </c>
      <c r="D64" s="332">
        <f>D57+D58+D59+D60+D63</f>
        <v>1448995831</v>
      </c>
      <c r="E64" s="327">
        <f t="shared" ref="E64:J64" si="14">E57+E58+E59+E60+E63</f>
        <v>0</v>
      </c>
      <c r="F64" s="327">
        <f t="shared" si="14"/>
        <v>0</v>
      </c>
      <c r="G64" s="327">
        <f t="shared" si="14"/>
        <v>0</v>
      </c>
      <c r="H64" s="327">
        <f t="shared" si="14"/>
        <v>0</v>
      </c>
      <c r="I64" s="328">
        <f t="shared" si="14"/>
        <v>1174605000</v>
      </c>
      <c r="J64" s="328">
        <f t="shared" si="14"/>
        <v>1448995831</v>
      </c>
      <c r="K64" s="299">
        <f>+K60</f>
        <v>951533</v>
      </c>
      <c r="L64" s="300">
        <v>874965</v>
      </c>
    </row>
    <row r="65" spans="1:12" ht="12.75" customHeight="1" x14ac:dyDescent="0.3">
      <c r="A65" s="325" t="s">
        <v>20</v>
      </c>
      <c r="B65" s="330" t="s">
        <v>123</v>
      </c>
      <c r="C65" s="327">
        <f t="shared" ref="C65:H65" si="15">C56+C64</f>
        <v>5027101000</v>
      </c>
      <c r="D65" s="327">
        <f t="shared" si="15"/>
        <v>4745403065</v>
      </c>
      <c r="E65" s="327">
        <f t="shared" si="15"/>
        <v>99856000</v>
      </c>
      <c r="F65" s="327">
        <f t="shared" si="15"/>
        <v>98093500</v>
      </c>
      <c r="G65" s="327">
        <f t="shared" si="15"/>
        <v>0</v>
      </c>
      <c r="H65" s="327">
        <f t="shared" si="15"/>
        <v>0</v>
      </c>
      <c r="I65" s="328">
        <f t="shared" si="12"/>
        <v>5126957000</v>
      </c>
      <c r="J65" s="328">
        <f t="shared" si="12"/>
        <v>4843496565</v>
      </c>
      <c r="K65" s="299">
        <f>K56+K64</f>
        <v>4105125</v>
      </c>
      <c r="L65" s="300">
        <f>L56+L64</f>
        <v>3645433</v>
      </c>
    </row>
    <row r="66" spans="1:12" ht="12.75" customHeight="1" x14ac:dyDescent="0.3">
      <c r="A66" s="325" t="s">
        <v>21</v>
      </c>
      <c r="B66" s="326" t="s">
        <v>124</v>
      </c>
      <c r="C66" s="327">
        <v>1080936000</v>
      </c>
      <c r="D66" s="327">
        <v>1070381689</v>
      </c>
      <c r="E66" s="327">
        <v>0</v>
      </c>
      <c r="F66" s="327">
        <v>0</v>
      </c>
      <c r="G66" s="327">
        <v>0</v>
      </c>
      <c r="H66" s="327">
        <v>0</v>
      </c>
      <c r="I66" s="328">
        <f t="shared" si="12"/>
        <v>1080936000</v>
      </c>
      <c r="J66" s="328">
        <f t="shared" si="12"/>
        <v>1070381689</v>
      </c>
      <c r="K66" s="299">
        <v>951533</v>
      </c>
      <c r="L66" s="299">
        <v>850269</v>
      </c>
    </row>
    <row r="67" spans="1:12" ht="12.75" customHeight="1" x14ac:dyDescent="0.3">
      <c r="A67" s="331" t="s">
        <v>22</v>
      </c>
      <c r="B67" s="326" t="s">
        <v>246</v>
      </c>
      <c r="C67" s="327">
        <v>0</v>
      </c>
      <c r="D67" s="327">
        <v>0</v>
      </c>
      <c r="E67" s="327">
        <v>0</v>
      </c>
      <c r="F67" s="327">
        <v>0</v>
      </c>
      <c r="G67" s="327">
        <v>0</v>
      </c>
      <c r="H67" s="327">
        <v>0</v>
      </c>
      <c r="I67" s="328">
        <v>0</v>
      </c>
      <c r="J67" s="328">
        <v>0</v>
      </c>
      <c r="K67" s="362"/>
      <c r="L67" s="361"/>
    </row>
    <row r="68" spans="1:12" x14ac:dyDescent="0.3">
      <c r="A68" s="329" t="s">
        <v>23</v>
      </c>
      <c r="B68" s="335" t="s">
        <v>72</v>
      </c>
      <c r="C68" s="328">
        <f>C65-C66-C67</f>
        <v>3946165000</v>
      </c>
      <c r="D68" s="328">
        <f>D65-D66-D67</f>
        <v>3675021376</v>
      </c>
      <c r="E68" s="328">
        <f>E65-E66</f>
        <v>99856000</v>
      </c>
      <c r="F68" s="328">
        <f>F65-F66</f>
        <v>98093500</v>
      </c>
      <c r="G68" s="328">
        <f>G65-G66</f>
        <v>0</v>
      </c>
      <c r="H68" s="328">
        <f>H65-H66</f>
        <v>0</v>
      </c>
      <c r="I68" s="328">
        <f>C68+E68+G68</f>
        <v>4046021000</v>
      </c>
      <c r="J68" s="328">
        <f>D68+F68+H68</f>
        <v>3773114876</v>
      </c>
      <c r="K68" s="299">
        <f>K65-K66-K67</f>
        <v>3153592</v>
      </c>
      <c r="L68" s="300">
        <f>L65-L66-L67</f>
        <v>2795164</v>
      </c>
    </row>
    <row r="69" spans="1:12" x14ac:dyDescent="0.3">
      <c r="C69" s="17">
        <f>+C68-C37</f>
        <v>0</v>
      </c>
      <c r="D69" s="17">
        <f t="shared" ref="D69:H69" si="16">+D68-D37</f>
        <v>0</v>
      </c>
      <c r="E69" s="17">
        <f t="shared" si="16"/>
        <v>0</v>
      </c>
      <c r="F69" s="17">
        <f t="shared" si="16"/>
        <v>0</v>
      </c>
      <c r="G69" s="17">
        <f t="shared" si="16"/>
        <v>0</v>
      </c>
      <c r="H69" s="17">
        <f t="shared" si="16"/>
        <v>0</v>
      </c>
      <c r="I69" s="17">
        <f>+I68-I37</f>
        <v>0</v>
      </c>
      <c r="J69" s="17">
        <f>+J68-J37</f>
        <v>0</v>
      </c>
      <c r="K69" s="17">
        <f t="shared" ref="K69" si="17">+K68-K37</f>
        <v>-444566</v>
      </c>
      <c r="L69" s="17">
        <f t="shared" ref="L69" si="18">+L68-L37</f>
        <v>-726037</v>
      </c>
    </row>
  </sheetData>
  <mergeCells count="3">
    <mergeCell ref="I1:J2"/>
    <mergeCell ref="C1:F1"/>
    <mergeCell ref="C2:F2"/>
  </mergeCells>
  <phoneticPr fontId="3" type="noConversion"/>
  <pageMargins left="0.31496062992125984" right="0.31496062992125984" top="0.27559055118110237" bottom="0.94488188976377963" header="0.15748031496062992" footer="0.19685039370078741"/>
  <pageSetup paperSize="9" scale="91" fitToHeight="2" orientation="landscape" r:id="rId1"/>
  <headerFooter>
    <oddFooter>&amp;P. oldal, összesen: &amp;N</oddFooter>
  </headerFooter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2"/>
  <sheetViews>
    <sheetView view="pageBreakPreview" zoomScaleNormal="100" zoomScaleSheetLayoutView="100" workbookViewId="0">
      <selection activeCell="M1" sqref="M1:O2"/>
    </sheetView>
  </sheetViews>
  <sheetFormatPr defaultColWidth="9.33203125" defaultRowHeight="14.4" x14ac:dyDescent="0.3"/>
  <cols>
    <col min="1" max="1" width="3.6640625" customWidth="1"/>
    <col min="2" max="2" width="34.44140625" customWidth="1"/>
    <col min="3" max="15" width="8" customWidth="1"/>
    <col min="16" max="17" width="8.5546875" customWidth="1"/>
    <col min="19" max="19" width="10.33203125" bestFit="1" customWidth="1"/>
  </cols>
  <sheetData>
    <row r="1" spans="1:19" x14ac:dyDescent="0.3">
      <c r="A1" s="665" t="s">
        <v>75</v>
      </c>
      <c r="B1" s="665"/>
      <c r="C1" s="665"/>
      <c r="D1" s="665"/>
      <c r="E1" s="665"/>
      <c r="F1" s="125"/>
      <c r="G1" s="125"/>
      <c r="H1" s="125"/>
      <c r="M1" s="694" t="s">
        <v>537</v>
      </c>
      <c r="N1" s="694"/>
      <c r="O1" s="694"/>
      <c r="Q1" s="66"/>
    </row>
    <row r="2" spans="1:19" ht="27.75" customHeight="1" x14ac:dyDescent="0.3">
      <c r="A2" s="665" t="s">
        <v>354</v>
      </c>
      <c r="B2" s="665"/>
      <c r="C2" s="665"/>
      <c r="D2" s="665"/>
      <c r="E2" s="665"/>
      <c r="F2" s="147"/>
      <c r="G2" s="147"/>
      <c r="H2" s="147"/>
      <c r="M2" s="694"/>
      <c r="N2" s="694"/>
      <c r="O2" s="694"/>
      <c r="Q2" s="66"/>
    </row>
    <row r="3" spans="1:19" x14ac:dyDescent="0.3">
      <c r="A3" s="86"/>
      <c r="B3" s="87"/>
      <c r="C3" s="42"/>
      <c r="D3" s="42"/>
      <c r="E3" s="42"/>
      <c r="F3" s="42"/>
      <c r="G3" s="42"/>
      <c r="H3" s="44"/>
      <c r="N3" s="695" t="s">
        <v>418</v>
      </c>
      <c r="O3" s="695"/>
      <c r="Q3" s="66"/>
    </row>
    <row r="4" spans="1:19" ht="15" customHeight="1" x14ac:dyDescent="0.3">
      <c r="A4" s="183" t="s">
        <v>127</v>
      </c>
      <c r="B4" s="191" t="s">
        <v>32</v>
      </c>
      <c r="C4" s="191" t="s">
        <v>198</v>
      </c>
      <c r="D4" s="183" t="s">
        <v>199</v>
      </c>
      <c r="E4" s="183" t="s">
        <v>200</v>
      </c>
      <c r="F4" s="183" t="s">
        <v>201</v>
      </c>
      <c r="G4" s="183" t="s">
        <v>202</v>
      </c>
      <c r="H4" s="192" t="s">
        <v>311</v>
      </c>
      <c r="I4" s="193" t="s">
        <v>203</v>
      </c>
      <c r="J4" s="193" t="s">
        <v>204</v>
      </c>
      <c r="K4" s="193" t="s">
        <v>205</v>
      </c>
      <c r="L4" s="193" t="s">
        <v>206</v>
      </c>
      <c r="M4" s="193" t="s">
        <v>207</v>
      </c>
      <c r="N4" s="193" t="s">
        <v>208</v>
      </c>
      <c r="O4" s="193" t="s">
        <v>47</v>
      </c>
      <c r="Q4" s="66"/>
    </row>
    <row r="5" spans="1:19" x14ac:dyDescent="0.3">
      <c r="A5" s="40" t="s">
        <v>12</v>
      </c>
      <c r="B5" s="23" t="s">
        <v>80</v>
      </c>
      <c r="C5" s="182">
        <v>67630</v>
      </c>
      <c r="D5" s="182">
        <v>67630</v>
      </c>
      <c r="E5" s="182">
        <v>67630</v>
      </c>
      <c r="F5" s="182">
        <v>67630</v>
      </c>
      <c r="G5" s="182">
        <v>67630</v>
      </c>
      <c r="H5" s="182">
        <v>67630</v>
      </c>
      <c r="I5" s="182">
        <v>67630</v>
      </c>
      <c r="J5" s="182">
        <v>67630</v>
      </c>
      <c r="K5" s="182">
        <v>67630</v>
      </c>
      <c r="L5" s="182">
        <v>67630</v>
      </c>
      <c r="M5" s="182">
        <v>67630</v>
      </c>
      <c r="N5" s="182">
        <v>67624</v>
      </c>
      <c r="O5" s="93">
        <f t="shared" ref="O5:O32" si="0">SUM(C5:N5)</f>
        <v>811554</v>
      </c>
      <c r="P5" s="218"/>
      <c r="Q5" s="66">
        <v>706356</v>
      </c>
      <c r="R5" s="177">
        <v>811554</v>
      </c>
      <c r="S5" s="316">
        <f>+R5/12</f>
        <v>67629.5</v>
      </c>
    </row>
    <row r="6" spans="1:19" ht="21.6" x14ac:dyDescent="0.3">
      <c r="A6" s="40" t="s">
        <v>13</v>
      </c>
      <c r="B6" s="23" t="s">
        <v>81</v>
      </c>
      <c r="C6" s="182">
        <f>+C7</f>
        <v>9205</v>
      </c>
      <c r="D6" s="182">
        <f t="shared" ref="D6:N6" si="1">+D7</f>
        <v>9206</v>
      </c>
      <c r="E6" s="182">
        <f t="shared" si="1"/>
        <v>42206</v>
      </c>
      <c r="F6" s="182">
        <f t="shared" si="1"/>
        <v>7206</v>
      </c>
      <c r="G6" s="182">
        <f t="shared" si="1"/>
        <v>7206</v>
      </c>
      <c r="H6" s="182">
        <f t="shared" si="1"/>
        <v>7206</v>
      </c>
      <c r="I6" s="182">
        <f t="shared" si="1"/>
        <v>7206</v>
      </c>
      <c r="J6" s="182">
        <f t="shared" si="1"/>
        <v>7206</v>
      </c>
      <c r="K6" s="182">
        <f t="shared" si="1"/>
        <v>7206</v>
      </c>
      <c r="L6" s="182">
        <f t="shared" si="1"/>
        <v>7206</v>
      </c>
      <c r="M6" s="182">
        <f t="shared" si="1"/>
        <v>7206</v>
      </c>
      <c r="N6" s="182">
        <f t="shared" si="1"/>
        <v>6206</v>
      </c>
      <c r="O6" s="93">
        <f t="shared" si="0"/>
        <v>124471</v>
      </c>
      <c r="Q6" s="66">
        <v>37809</v>
      </c>
      <c r="R6" s="177">
        <v>124471</v>
      </c>
      <c r="S6" s="316">
        <f t="shared" ref="S6:S36" si="2">+R6/12</f>
        <v>10372.583333333334</v>
      </c>
    </row>
    <row r="7" spans="1:19" x14ac:dyDescent="0.3">
      <c r="A7" s="40" t="s">
        <v>55</v>
      </c>
      <c r="B7" s="23" t="s">
        <v>82</v>
      </c>
      <c r="C7" s="182">
        <f>SUM(C8:C10)</f>
        <v>9205</v>
      </c>
      <c r="D7" s="182">
        <f t="shared" ref="D7:N7" si="3">SUM(D8:D10)</f>
        <v>9206</v>
      </c>
      <c r="E7" s="182">
        <f t="shared" si="3"/>
        <v>42206</v>
      </c>
      <c r="F7" s="182">
        <f t="shared" si="3"/>
        <v>7206</v>
      </c>
      <c r="G7" s="182">
        <f t="shared" si="3"/>
        <v>7206</v>
      </c>
      <c r="H7" s="182">
        <f t="shared" si="3"/>
        <v>7206</v>
      </c>
      <c r="I7" s="182">
        <f t="shared" si="3"/>
        <v>7206</v>
      </c>
      <c r="J7" s="182">
        <f t="shared" si="3"/>
        <v>7206</v>
      </c>
      <c r="K7" s="182">
        <f t="shared" si="3"/>
        <v>7206</v>
      </c>
      <c r="L7" s="182">
        <f t="shared" si="3"/>
        <v>7206</v>
      </c>
      <c r="M7" s="182">
        <f t="shared" si="3"/>
        <v>7206</v>
      </c>
      <c r="N7" s="182">
        <f t="shared" si="3"/>
        <v>6206</v>
      </c>
      <c r="O7" s="93">
        <f t="shared" si="0"/>
        <v>124471</v>
      </c>
      <c r="Q7" s="66">
        <v>37809</v>
      </c>
      <c r="R7" s="177">
        <v>124471</v>
      </c>
      <c r="S7" s="316">
        <f t="shared" si="2"/>
        <v>10372.583333333334</v>
      </c>
    </row>
    <row r="8" spans="1:19" x14ac:dyDescent="0.3">
      <c r="A8" s="40" t="s">
        <v>83</v>
      </c>
      <c r="B8" s="23" t="s">
        <v>379</v>
      </c>
      <c r="C8" s="182">
        <v>4205</v>
      </c>
      <c r="D8" s="182">
        <v>4206</v>
      </c>
      <c r="E8" s="182">
        <v>4206</v>
      </c>
      <c r="F8" s="182">
        <v>4206</v>
      </c>
      <c r="G8" s="182">
        <v>4206</v>
      </c>
      <c r="H8" s="182">
        <v>4206</v>
      </c>
      <c r="I8" s="92">
        <v>4206</v>
      </c>
      <c r="J8" s="92">
        <v>4206</v>
      </c>
      <c r="K8" s="92">
        <v>4206</v>
      </c>
      <c r="L8" s="92">
        <v>4206</v>
      </c>
      <c r="M8" s="92">
        <v>4206</v>
      </c>
      <c r="N8" s="92">
        <v>4206</v>
      </c>
      <c r="O8" s="93">
        <f t="shared" si="0"/>
        <v>50471</v>
      </c>
      <c r="Q8" s="66">
        <v>35854</v>
      </c>
      <c r="R8" s="177">
        <v>50471</v>
      </c>
      <c r="S8" s="316">
        <f t="shared" si="2"/>
        <v>4205.916666666667</v>
      </c>
    </row>
    <row r="9" spans="1:19" x14ac:dyDescent="0.3">
      <c r="A9" s="40" t="s">
        <v>84</v>
      </c>
      <c r="B9" s="23" t="s">
        <v>380</v>
      </c>
      <c r="C9" s="182">
        <v>2000</v>
      </c>
      <c r="D9" s="182">
        <v>2000</v>
      </c>
      <c r="E9" s="182">
        <v>0</v>
      </c>
      <c r="F9" s="182">
        <v>0</v>
      </c>
      <c r="G9" s="182">
        <v>0</v>
      </c>
      <c r="H9" s="18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3">
        <f t="shared" si="0"/>
        <v>4000</v>
      </c>
      <c r="Q9" s="66">
        <v>1955</v>
      </c>
      <c r="R9" s="177">
        <v>4000</v>
      </c>
      <c r="S9" s="316">
        <f t="shared" si="2"/>
        <v>333.33333333333331</v>
      </c>
    </row>
    <row r="10" spans="1:19" ht="21.6" x14ac:dyDescent="0.3">
      <c r="A10" s="40" t="s">
        <v>85</v>
      </c>
      <c r="B10" s="23" t="s">
        <v>381</v>
      </c>
      <c r="C10" s="182">
        <v>3000</v>
      </c>
      <c r="D10" s="182">
        <v>3000</v>
      </c>
      <c r="E10" s="182">
        <v>38000</v>
      </c>
      <c r="F10" s="182">
        <v>3000</v>
      </c>
      <c r="G10" s="182">
        <v>3000</v>
      </c>
      <c r="H10" s="182">
        <v>3000</v>
      </c>
      <c r="I10" s="92">
        <v>3000</v>
      </c>
      <c r="J10" s="92">
        <v>3000</v>
      </c>
      <c r="K10" s="92">
        <v>3000</v>
      </c>
      <c r="L10" s="92">
        <v>3000</v>
      </c>
      <c r="M10" s="92">
        <v>3000</v>
      </c>
      <c r="N10" s="92">
        <v>2000</v>
      </c>
      <c r="O10" s="93">
        <f t="shared" si="0"/>
        <v>70000</v>
      </c>
      <c r="Q10" s="66">
        <v>0</v>
      </c>
      <c r="R10" s="177">
        <v>70000</v>
      </c>
      <c r="S10" s="316">
        <f t="shared" si="2"/>
        <v>5833.333333333333</v>
      </c>
    </row>
    <row r="11" spans="1:19" ht="21.6" x14ac:dyDescent="0.3">
      <c r="A11" s="40" t="s">
        <v>14</v>
      </c>
      <c r="B11" s="23" t="s">
        <v>87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92">
        <v>0</v>
      </c>
      <c r="J11" s="92">
        <v>0</v>
      </c>
      <c r="K11" s="92">
        <v>0</v>
      </c>
      <c r="L11" s="92">
        <v>50000</v>
      </c>
      <c r="M11" s="92">
        <v>136000</v>
      </c>
      <c r="N11" s="92">
        <v>100000</v>
      </c>
      <c r="O11" s="93">
        <f t="shared" si="0"/>
        <v>286000</v>
      </c>
      <c r="Q11" s="66">
        <v>220504</v>
      </c>
      <c r="R11" s="177">
        <v>711000</v>
      </c>
      <c r="S11" s="316">
        <f t="shared" si="2"/>
        <v>59250</v>
      </c>
    </row>
    <row r="12" spans="1:19" x14ac:dyDescent="0.3">
      <c r="A12" s="40" t="s">
        <v>15</v>
      </c>
      <c r="B12" s="23" t="s">
        <v>88</v>
      </c>
      <c r="C12" s="182">
        <f>SUM(C13:C18)</f>
        <v>10450</v>
      </c>
      <c r="D12" s="182">
        <f>SUM(D13:D18)</f>
        <v>15450</v>
      </c>
      <c r="E12" s="182">
        <f t="shared" ref="E12:N12" si="4">SUM(E13:E18)</f>
        <v>425500</v>
      </c>
      <c r="F12" s="182">
        <f t="shared" si="4"/>
        <v>25450</v>
      </c>
      <c r="G12" s="182">
        <f t="shared" si="4"/>
        <v>21850</v>
      </c>
      <c r="H12" s="182">
        <f t="shared" si="4"/>
        <v>13750</v>
      </c>
      <c r="I12" s="182">
        <f t="shared" si="4"/>
        <v>12700</v>
      </c>
      <c r="J12" s="182">
        <f t="shared" si="4"/>
        <v>7700</v>
      </c>
      <c r="K12" s="182">
        <f t="shared" si="4"/>
        <v>444800</v>
      </c>
      <c r="L12" s="182">
        <f t="shared" si="4"/>
        <v>23650</v>
      </c>
      <c r="M12" s="182">
        <f t="shared" si="4"/>
        <v>8950</v>
      </c>
      <c r="N12" s="182">
        <f t="shared" si="4"/>
        <v>66750</v>
      </c>
      <c r="O12" s="93">
        <f t="shared" si="0"/>
        <v>1077000</v>
      </c>
      <c r="Q12" s="66">
        <v>886700</v>
      </c>
      <c r="R12" s="177">
        <v>1100000</v>
      </c>
      <c r="S12" s="316">
        <f t="shared" si="2"/>
        <v>91666.666666666672</v>
      </c>
    </row>
    <row r="13" spans="1:19" x14ac:dyDescent="0.3">
      <c r="A13" s="40"/>
      <c r="B13" s="23" t="s">
        <v>38</v>
      </c>
      <c r="C13" s="182">
        <v>6000</v>
      </c>
      <c r="D13" s="182">
        <v>6000</v>
      </c>
      <c r="E13" s="182">
        <v>120000</v>
      </c>
      <c r="F13" s="182">
        <v>11000</v>
      </c>
      <c r="G13" s="182">
        <v>5000</v>
      </c>
      <c r="H13" s="182">
        <v>5000</v>
      </c>
      <c r="I13" s="92">
        <v>5000</v>
      </c>
      <c r="J13" s="92">
        <v>0</v>
      </c>
      <c r="K13" s="92">
        <v>120000</v>
      </c>
      <c r="L13" s="92">
        <v>14000</v>
      </c>
      <c r="M13" s="92">
        <v>4000</v>
      </c>
      <c r="N13" s="92">
        <v>4000</v>
      </c>
      <c r="O13" s="93">
        <f t="shared" si="0"/>
        <v>300000</v>
      </c>
      <c r="Q13" s="66">
        <v>260000</v>
      </c>
      <c r="R13" s="177">
        <v>300000</v>
      </c>
      <c r="S13" s="316">
        <f t="shared" si="2"/>
        <v>25000</v>
      </c>
    </row>
    <row r="14" spans="1:19" x14ac:dyDescent="0.3">
      <c r="A14" s="40"/>
      <c r="B14" s="23" t="s">
        <v>39</v>
      </c>
      <c r="C14" s="182">
        <v>1000</v>
      </c>
      <c r="D14" s="182">
        <v>1000</v>
      </c>
      <c r="E14" s="182">
        <v>30000</v>
      </c>
      <c r="F14" s="182">
        <v>6000</v>
      </c>
      <c r="G14" s="182">
        <v>1000</v>
      </c>
      <c r="H14" s="182">
        <v>3000</v>
      </c>
      <c r="I14" s="92">
        <v>1000</v>
      </c>
      <c r="J14" s="92">
        <v>2000</v>
      </c>
      <c r="K14" s="92">
        <v>30000</v>
      </c>
      <c r="L14" s="92">
        <v>6000</v>
      </c>
      <c r="M14" s="92">
        <v>2000</v>
      </c>
      <c r="N14" s="92">
        <v>2000</v>
      </c>
      <c r="O14" s="93">
        <f t="shared" si="0"/>
        <v>85000</v>
      </c>
      <c r="Q14" s="66">
        <v>70000</v>
      </c>
      <c r="R14" s="177">
        <v>85000</v>
      </c>
      <c r="S14" s="316">
        <f t="shared" si="2"/>
        <v>7083.333333333333</v>
      </c>
    </row>
    <row r="15" spans="1:19" x14ac:dyDescent="0.3">
      <c r="A15" s="40"/>
      <c r="B15" s="23" t="s">
        <v>40</v>
      </c>
      <c r="C15" s="182">
        <v>3000</v>
      </c>
      <c r="D15" s="182">
        <v>8000</v>
      </c>
      <c r="E15" s="182">
        <v>275000</v>
      </c>
      <c r="F15" s="182">
        <v>8000</v>
      </c>
      <c r="G15" s="182">
        <v>15000</v>
      </c>
      <c r="H15" s="182">
        <v>5000</v>
      </c>
      <c r="I15" s="92">
        <v>5000</v>
      </c>
      <c r="J15" s="92">
        <v>5000</v>
      </c>
      <c r="K15" s="92">
        <v>275000</v>
      </c>
      <c r="L15" s="92">
        <v>2000</v>
      </c>
      <c r="M15" s="92">
        <v>1500</v>
      </c>
      <c r="N15" s="92">
        <v>60000</v>
      </c>
      <c r="O15" s="93">
        <f t="shared" si="0"/>
        <v>662500</v>
      </c>
      <c r="Q15" s="66">
        <v>510000</v>
      </c>
      <c r="R15" s="177">
        <v>662500</v>
      </c>
      <c r="S15" s="316">
        <f t="shared" si="2"/>
        <v>55208.333333333336</v>
      </c>
    </row>
    <row r="16" spans="1:19" x14ac:dyDescent="0.3">
      <c r="A16" s="40"/>
      <c r="B16" s="23" t="s">
        <v>71</v>
      </c>
      <c r="C16" s="182">
        <v>0</v>
      </c>
      <c r="D16" s="182">
        <v>0</v>
      </c>
      <c r="E16" s="182">
        <v>0</v>
      </c>
      <c r="F16" s="182">
        <v>0</v>
      </c>
      <c r="G16" s="182">
        <v>400</v>
      </c>
      <c r="H16" s="182">
        <v>300</v>
      </c>
      <c r="I16" s="92">
        <v>250</v>
      </c>
      <c r="J16" s="92">
        <v>250</v>
      </c>
      <c r="K16" s="92">
        <v>300</v>
      </c>
      <c r="L16" s="92">
        <v>200</v>
      </c>
      <c r="M16" s="92">
        <v>0</v>
      </c>
      <c r="N16" s="92">
        <v>300</v>
      </c>
      <c r="O16" s="93">
        <f t="shared" si="0"/>
        <v>2000</v>
      </c>
      <c r="Q16" s="66">
        <v>2000</v>
      </c>
      <c r="R16" s="177">
        <v>2000</v>
      </c>
      <c r="S16" s="316">
        <f t="shared" si="2"/>
        <v>166.66666666666666</v>
      </c>
    </row>
    <row r="17" spans="1:19" x14ac:dyDescent="0.3">
      <c r="A17" s="40"/>
      <c r="B17" s="23" t="s">
        <v>41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92">
        <v>1000</v>
      </c>
      <c r="J17" s="92">
        <v>0</v>
      </c>
      <c r="K17" s="92">
        <v>19000</v>
      </c>
      <c r="L17" s="92">
        <v>1000</v>
      </c>
      <c r="M17" s="92">
        <v>1000</v>
      </c>
      <c r="N17" s="92">
        <v>0</v>
      </c>
      <c r="O17" s="93">
        <f t="shared" si="0"/>
        <v>22000</v>
      </c>
      <c r="Q17" s="66">
        <v>40000</v>
      </c>
      <c r="R17" s="177">
        <v>45000</v>
      </c>
      <c r="S17" s="316">
        <f t="shared" si="2"/>
        <v>3750</v>
      </c>
    </row>
    <row r="18" spans="1:19" x14ac:dyDescent="0.3">
      <c r="A18" s="40"/>
      <c r="B18" s="23" t="s">
        <v>285</v>
      </c>
      <c r="C18" s="182">
        <v>450</v>
      </c>
      <c r="D18" s="182">
        <v>450</v>
      </c>
      <c r="E18" s="182">
        <v>500</v>
      </c>
      <c r="F18" s="182">
        <v>450</v>
      </c>
      <c r="G18" s="182">
        <v>450</v>
      </c>
      <c r="H18" s="182">
        <v>450</v>
      </c>
      <c r="I18" s="92">
        <v>450</v>
      </c>
      <c r="J18" s="92">
        <v>450</v>
      </c>
      <c r="K18" s="92">
        <v>500</v>
      </c>
      <c r="L18" s="92">
        <v>450</v>
      </c>
      <c r="M18" s="92">
        <v>450</v>
      </c>
      <c r="N18" s="92">
        <v>450</v>
      </c>
      <c r="O18" s="93">
        <f t="shared" si="0"/>
        <v>5500</v>
      </c>
      <c r="Q18" s="66">
        <v>4700</v>
      </c>
      <c r="R18" s="177">
        <v>5500</v>
      </c>
      <c r="S18" s="316">
        <f t="shared" si="2"/>
        <v>458.33333333333331</v>
      </c>
    </row>
    <row r="19" spans="1:19" x14ac:dyDescent="0.3">
      <c r="A19" s="40" t="s">
        <v>16</v>
      </c>
      <c r="B19" s="23" t="s">
        <v>89</v>
      </c>
      <c r="C19" s="182">
        <v>21784</v>
      </c>
      <c r="D19" s="182">
        <v>21784</v>
      </c>
      <c r="E19" s="182">
        <v>21784</v>
      </c>
      <c r="F19" s="182">
        <v>21784</v>
      </c>
      <c r="G19" s="182">
        <v>21784</v>
      </c>
      <c r="H19" s="182">
        <f>21776+30000</f>
        <v>51776</v>
      </c>
      <c r="I19" s="182">
        <f>50600+21776</f>
        <v>72376</v>
      </c>
      <c r="J19" s="182">
        <v>21784</v>
      </c>
      <c r="K19" s="182">
        <v>21784</v>
      </c>
      <c r="L19" s="182">
        <v>21784</v>
      </c>
      <c r="M19" s="182">
        <v>21784</v>
      </c>
      <c r="N19" s="182">
        <v>21788</v>
      </c>
      <c r="O19" s="93">
        <f t="shared" si="0"/>
        <v>341996</v>
      </c>
      <c r="P19" s="219"/>
      <c r="Q19" s="67">
        <v>275729</v>
      </c>
      <c r="R19" s="177">
        <f>341996</f>
        <v>341996</v>
      </c>
      <c r="S19" s="316">
        <f t="shared" si="2"/>
        <v>28499.666666666668</v>
      </c>
    </row>
    <row r="20" spans="1:19" x14ac:dyDescent="0.3">
      <c r="A20" s="40" t="s">
        <v>17</v>
      </c>
      <c r="B20" s="23" t="s">
        <v>90</v>
      </c>
      <c r="C20" s="182">
        <v>0</v>
      </c>
      <c r="D20" s="182">
        <v>0</v>
      </c>
      <c r="E20" s="182">
        <v>0</v>
      </c>
      <c r="F20" s="182">
        <v>0</v>
      </c>
      <c r="G20" s="182">
        <v>45000</v>
      </c>
      <c r="H20" s="182">
        <v>0</v>
      </c>
      <c r="I20" s="92">
        <v>0</v>
      </c>
      <c r="J20" s="92">
        <v>0</v>
      </c>
      <c r="K20" s="92">
        <v>220000</v>
      </c>
      <c r="L20" s="92">
        <v>16000</v>
      </c>
      <c r="M20" s="92">
        <v>0</v>
      </c>
      <c r="N20" s="92">
        <v>0</v>
      </c>
      <c r="O20" s="93">
        <f t="shared" si="0"/>
        <v>281000</v>
      </c>
      <c r="Q20" s="66">
        <v>252827</v>
      </c>
      <c r="R20" s="177">
        <v>187000</v>
      </c>
      <c r="S20" s="316">
        <f t="shared" si="2"/>
        <v>15583.333333333334</v>
      </c>
    </row>
    <row r="21" spans="1:19" x14ac:dyDescent="0.3">
      <c r="A21" s="40" t="s">
        <v>18</v>
      </c>
      <c r="B21" s="23" t="s">
        <v>91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3">
        <f t="shared" si="0"/>
        <v>0</v>
      </c>
      <c r="Q21" s="66">
        <v>0</v>
      </c>
      <c r="R21" s="177">
        <v>0</v>
      </c>
      <c r="S21" s="316">
        <f t="shared" si="2"/>
        <v>0</v>
      </c>
    </row>
    <row r="22" spans="1:19" x14ac:dyDescent="0.3">
      <c r="A22" s="40" t="s">
        <v>19</v>
      </c>
      <c r="B22" s="23" t="s">
        <v>92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3">
        <f t="shared" si="0"/>
        <v>0</v>
      </c>
      <c r="Q22" s="66">
        <v>0</v>
      </c>
      <c r="R22" s="177">
        <v>0</v>
      </c>
      <c r="S22" s="316">
        <f t="shared" si="2"/>
        <v>0</v>
      </c>
    </row>
    <row r="23" spans="1:19" x14ac:dyDescent="0.3">
      <c r="A23" s="121" t="s">
        <v>20</v>
      </c>
      <c r="B23" s="22" t="s">
        <v>93</v>
      </c>
      <c r="C23" s="182">
        <f>C5+C6+C11+C12+C19+C20+C21+C22</f>
        <v>109069</v>
      </c>
      <c r="D23" s="182">
        <f t="shared" ref="D23:N23" si="5">D5+D6+D11+D12+D19+D20+D21+D22</f>
        <v>114070</v>
      </c>
      <c r="E23" s="182">
        <f t="shared" si="5"/>
        <v>557120</v>
      </c>
      <c r="F23" s="182">
        <f t="shared" si="5"/>
        <v>122070</v>
      </c>
      <c r="G23" s="182">
        <f t="shared" si="5"/>
        <v>163470</v>
      </c>
      <c r="H23" s="182">
        <f t="shared" si="5"/>
        <v>140362</v>
      </c>
      <c r="I23" s="182">
        <f t="shared" si="5"/>
        <v>159912</v>
      </c>
      <c r="J23" s="182">
        <f t="shared" si="5"/>
        <v>104320</v>
      </c>
      <c r="K23" s="182">
        <f t="shared" si="5"/>
        <v>761420</v>
      </c>
      <c r="L23" s="182">
        <f t="shared" si="5"/>
        <v>186270</v>
      </c>
      <c r="M23" s="182">
        <f t="shared" si="5"/>
        <v>241570</v>
      </c>
      <c r="N23" s="182">
        <f t="shared" si="5"/>
        <v>262368</v>
      </c>
      <c r="O23" s="93">
        <f t="shared" si="0"/>
        <v>2922021</v>
      </c>
      <c r="Q23" s="66"/>
      <c r="R23" s="177">
        <v>3308922</v>
      </c>
      <c r="S23" s="316">
        <f t="shared" si="2"/>
        <v>275743.5</v>
      </c>
    </row>
    <row r="24" spans="1:19" x14ac:dyDescent="0.3">
      <c r="A24" s="40" t="s">
        <v>21</v>
      </c>
      <c r="B24" s="23" t="s">
        <v>94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80000</v>
      </c>
      <c r="I24" s="92">
        <v>0</v>
      </c>
      <c r="J24" s="92">
        <v>270000</v>
      </c>
      <c r="K24" s="92">
        <v>0</v>
      </c>
      <c r="L24" s="92">
        <v>0</v>
      </c>
      <c r="M24" s="92">
        <v>0</v>
      </c>
      <c r="N24" s="92">
        <v>0</v>
      </c>
      <c r="O24" s="93">
        <f t="shared" si="0"/>
        <v>350000</v>
      </c>
      <c r="Q24" s="66"/>
      <c r="R24" s="177">
        <v>206000</v>
      </c>
      <c r="S24" s="316">
        <f t="shared" si="2"/>
        <v>17166.666666666668</v>
      </c>
    </row>
    <row r="25" spans="1:19" x14ac:dyDescent="0.3">
      <c r="A25" s="40" t="s">
        <v>22</v>
      </c>
      <c r="B25" s="23" t="s">
        <v>95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3">
        <f t="shared" si="0"/>
        <v>0</v>
      </c>
      <c r="P25" s="219"/>
      <c r="Q25" s="66"/>
      <c r="R25" s="177">
        <v>0</v>
      </c>
      <c r="S25" s="316">
        <f t="shared" si="2"/>
        <v>0</v>
      </c>
    </row>
    <row r="26" spans="1:19" x14ac:dyDescent="0.3">
      <c r="A26" s="40" t="s">
        <v>23</v>
      </c>
      <c r="B26" s="23" t="s">
        <v>96</v>
      </c>
      <c r="C26" s="182">
        <v>326000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3">
        <f t="shared" si="0"/>
        <v>326000</v>
      </c>
      <c r="Q26" s="66"/>
      <c r="R26" s="177">
        <v>690000</v>
      </c>
      <c r="S26" s="316">
        <f t="shared" si="2"/>
        <v>57500</v>
      </c>
    </row>
    <row r="27" spans="1:19" x14ac:dyDescent="0.3">
      <c r="A27" s="40" t="s">
        <v>24</v>
      </c>
      <c r="B27" s="23" t="s">
        <v>97</v>
      </c>
      <c r="C27" s="182">
        <v>90078</v>
      </c>
      <c r="D27" s="182">
        <v>90078</v>
      </c>
      <c r="E27" s="182">
        <v>90078</v>
      </c>
      <c r="F27" s="182">
        <v>90078</v>
      </c>
      <c r="G27" s="182">
        <v>90078</v>
      </c>
      <c r="H27" s="182">
        <v>90078</v>
      </c>
      <c r="I27" s="92">
        <v>90078</v>
      </c>
      <c r="J27" s="92">
        <v>90078</v>
      </c>
      <c r="K27" s="92">
        <v>90078</v>
      </c>
      <c r="L27" s="92">
        <v>90078</v>
      </c>
      <c r="M27" s="92">
        <v>90078</v>
      </c>
      <c r="N27" s="92">
        <v>90078</v>
      </c>
      <c r="O27" s="93">
        <f t="shared" si="0"/>
        <v>1080936</v>
      </c>
      <c r="Q27" s="219">
        <v>909213</v>
      </c>
      <c r="R27" s="177">
        <v>1080936</v>
      </c>
      <c r="S27" s="316">
        <f t="shared" si="2"/>
        <v>90078</v>
      </c>
    </row>
    <row r="28" spans="1:19" x14ac:dyDescent="0.3">
      <c r="A28" s="40"/>
      <c r="B28" s="23" t="s">
        <v>98</v>
      </c>
      <c r="C28" s="182">
        <v>90078</v>
      </c>
      <c r="D28" s="182">
        <v>90078</v>
      </c>
      <c r="E28" s="182">
        <v>90078</v>
      </c>
      <c r="F28" s="182">
        <v>90078</v>
      </c>
      <c r="G28" s="182">
        <v>90078</v>
      </c>
      <c r="H28" s="182">
        <v>90078</v>
      </c>
      <c r="I28" s="92">
        <v>90078</v>
      </c>
      <c r="J28" s="92">
        <v>90078</v>
      </c>
      <c r="K28" s="92">
        <v>90078</v>
      </c>
      <c r="L28" s="92">
        <v>90078</v>
      </c>
      <c r="M28" s="92">
        <v>90078</v>
      </c>
      <c r="N28" s="92">
        <v>90078</v>
      </c>
      <c r="O28" s="93">
        <f t="shared" si="0"/>
        <v>1080936</v>
      </c>
      <c r="Q28" s="66"/>
      <c r="R28" s="177">
        <v>1003737</v>
      </c>
      <c r="S28" s="316">
        <f t="shared" si="2"/>
        <v>83644.75</v>
      </c>
    </row>
    <row r="29" spans="1:19" x14ac:dyDescent="0.3">
      <c r="A29" s="40" t="s">
        <v>25</v>
      </c>
      <c r="B29" s="23" t="s">
        <v>99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3">
        <f t="shared" si="0"/>
        <v>0</v>
      </c>
      <c r="Q29" s="66"/>
      <c r="R29" s="177">
        <v>0</v>
      </c>
      <c r="S29" s="316">
        <f t="shared" si="2"/>
        <v>0</v>
      </c>
    </row>
    <row r="30" spans="1:19" ht="21.6" x14ac:dyDescent="0.3">
      <c r="A30" s="40" t="s">
        <v>26</v>
      </c>
      <c r="B30" s="23" t="s">
        <v>100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58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3">
        <f t="shared" si="0"/>
        <v>0</v>
      </c>
      <c r="Q30" s="66"/>
      <c r="R30" s="177">
        <v>0</v>
      </c>
      <c r="S30" s="316">
        <f t="shared" si="2"/>
        <v>0</v>
      </c>
    </row>
    <row r="31" spans="1:19" x14ac:dyDescent="0.3">
      <c r="A31" s="40" t="s">
        <v>27</v>
      </c>
      <c r="B31" s="22" t="s">
        <v>101</v>
      </c>
      <c r="C31" s="182">
        <f>C24+C25+C26+C27+C29+C30</f>
        <v>416078</v>
      </c>
      <c r="D31" s="182">
        <f t="shared" ref="D31:N31" si="6">D24+D25+D26+D27+D29+D30</f>
        <v>90078</v>
      </c>
      <c r="E31" s="182">
        <f t="shared" si="6"/>
        <v>90078</v>
      </c>
      <c r="F31" s="182">
        <f t="shared" si="6"/>
        <v>90078</v>
      </c>
      <c r="G31" s="182">
        <f t="shared" si="6"/>
        <v>90078</v>
      </c>
      <c r="H31" s="182">
        <f t="shared" si="6"/>
        <v>170078</v>
      </c>
      <c r="I31" s="182">
        <f t="shared" si="6"/>
        <v>90078</v>
      </c>
      <c r="J31" s="182">
        <f t="shared" si="6"/>
        <v>360078</v>
      </c>
      <c r="K31" s="182">
        <f t="shared" si="6"/>
        <v>90078</v>
      </c>
      <c r="L31" s="182">
        <f t="shared" si="6"/>
        <v>90078</v>
      </c>
      <c r="M31" s="182">
        <f t="shared" si="6"/>
        <v>90078</v>
      </c>
      <c r="N31" s="182">
        <f t="shared" si="6"/>
        <v>90078</v>
      </c>
      <c r="O31" s="93">
        <f t="shared" si="0"/>
        <v>1756936</v>
      </c>
      <c r="Q31" s="66"/>
      <c r="R31" s="177">
        <v>0</v>
      </c>
      <c r="S31" s="316">
        <f t="shared" si="2"/>
        <v>0</v>
      </c>
    </row>
    <row r="32" spans="1:19" ht="21.6" x14ac:dyDescent="0.3">
      <c r="A32" s="40" t="s">
        <v>28</v>
      </c>
      <c r="B32" s="22" t="s">
        <v>102</v>
      </c>
      <c r="C32" s="182">
        <f>C23+C31</f>
        <v>525147</v>
      </c>
      <c r="D32" s="182">
        <f t="shared" ref="D32:N32" si="7">D23+D31</f>
        <v>204148</v>
      </c>
      <c r="E32" s="182">
        <f t="shared" si="7"/>
        <v>647198</v>
      </c>
      <c r="F32" s="182">
        <f t="shared" si="7"/>
        <v>212148</v>
      </c>
      <c r="G32" s="182">
        <f t="shared" si="7"/>
        <v>253548</v>
      </c>
      <c r="H32" s="182">
        <f t="shared" si="7"/>
        <v>310440</v>
      </c>
      <c r="I32" s="182">
        <f t="shared" si="7"/>
        <v>249990</v>
      </c>
      <c r="J32" s="182">
        <f t="shared" si="7"/>
        <v>464398</v>
      </c>
      <c r="K32" s="182">
        <f t="shared" si="7"/>
        <v>851498</v>
      </c>
      <c r="L32" s="182">
        <f t="shared" si="7"/>
        <v>276348</v>
      </c>
      <c r="M32" s="182">
        <f t="shared" si="7"/>
        <v>331648</v>
      </c>
      <c r="N32" s="182">
        <f t="shared" si="7"/>
        <v>352446</v>
      </c>
      <c r="O32" s="93">
        <f t="shared" si="0"/>
        <v>4678957</v>
      </c>
      <c r="Q32" s="66"/>
      <c r="R32" s="177">
        <v>1899737</v>
      </c>
      <c r="S32" s="316">
        <f t="shared" si="2"/>
        <v>158311.41666666666</v>
      </c>
    </row>
    <row r="33" spans="1:19" x14ac:dyDescent="0.3">
      <c r="A33" s="40"/>
      <c r="B33" s="204" t="s">
        <v>211</v>
      </c>
      <c r="C33" s="205">
        <f>+'22.kiadási ütemterv'!C25</f>
        <v>312743</v>
      </c>
      <c r="D33" s="205">
        <f>+'22.kiadási ütemterv'!D25</f>
        <v>272923</v>
      </c>
      <c r="E33" s="205">
        <f>+'22.kiadási ütemterv'!E25</f>
        <v>274724</v>
      </c>
      <c r="F33" s="205">
        <f>+'22.kiadási ütemterv'!F25</f>
        <v>496396</v>
      </c>
      <c r="G33" s="205">
        <f>+'22.kiadási ütemterv'!G25</f>
        <v>523389</v>
      </c>
      <c r="H33" s="205">
        <f>+'22.kiadási ütemterv'!H25</f>
        <v>287468</v>
      </c>
      <c r="I33" s="205">
        <f>+'22.kiadási ütemterv'!I25</f>
        <v>466925</v>
      </c>
      <c r="J33" s="205">
        <f>+'22.kiadási ütemterv'!J25</f>
        <v>442925</v>
      </c>
      <c r="K33" s="205">
        <f>+'22.kiadási ütemterv'!K25</f>
        <v>745684</v>
      </c>
      <c r="L33" s="205">
        <f>+'22.kiadási ütemterv'!L25</f>
        <v>450924</v>
      </c>
      <c r="M33" s="205">
        <f>+'22.kiadási ütemterv'!M25</f>
        <v>339923</v>
      </c>
      <c r="N33" s="205">
        <f>+'22.kiadási ütemterv'!N25</f>
        <v>512933</v>
      </c>
      <c r="O33" s="206">
        <f>SUM(C33:N33)</f>
        <v>5126957</v>
      </c>
      <c r="Q33" s="66"/>
      <c r="R33" s="177">
        <v>5208659</v>
      </c>
      <c r="S33" s="316">
        <f t="shared" si="2"/>
        <v>434054.91666666669</v>
      </c>
    </row>
    <row r="34" spans="1:19" ht="12" customHeight="1" x14ac:dyDescent="0.3">
      <c r="A34" s="40"/>
      <c r="B34" s="204" t="s">
        <v>212</v>
      </c>
      <c r="C34" s="205">
        <f>+C32-C33</f>
        <v>212404</v>
      </c>
      <c r="D34" s="205">
        <f>+C34+D32-D33</f>
        <v>143629</v>
      </c>
      <c r="E34" s="205">
        <f t="shared" ref="E34:N34" si="8">+D34+E32-E33</f>
        <v>516103</v>
      </c>
      <c r="F34" s="205">
        <f t="shared" si="8"/>
        <v>231855</v>
      </c>
      <c r="G34" s="205">
        <f t="shared" si="8"/>
        <v>-37986</v>
      </c>
      <c r="H34" s="205">
        <f t="shared" si="8"/>
        <v>-15014</v>
      </c>
      <c r="I34" s="205">
        <f t="shared" si="8"/>
        <v>-231949</v>
      </c>
      <c r="J34" s="205">
        <f t="shared" si="8"/>
        <v>-210476</v>
      </c>
      <c r="K34" s="205">
        <f t="shared" si="8"/>
        <v>-104662</v>
      </c>
      <c r="L34" s="205">
        <f t="shared" si="8"/>
        <v>-279238</v>
      </c>
      <c r="M34" s="205">
        <f t="shared" si="8"/>
        <v>-287513</v>
      </c>
      <c r="N34" s="205">
        <f t="shared" si="8"/>
        <v>-448000</v>
      </c>
      <c r="O34" s="206"/>
      <c r="Q34" s="66"/>
      <c r="R34" s="177">
        <v>1003737</v>
      </c>
      <c r="S34" s="316">
        <f t="shared" si="2"/>
        <v>83644.75</v>
      </c>
    </row>
    <row r="35" spans="1:19" x14ac:dyDescent="0.3">
      <c r="A35" s="139"/>
      <c r="B35" s="77"/>
      <c r="C35" s="57"/>
      <c r="D35" s="57"/>
      <c r="E35" s="57"/>
      <c r="F35" s="57"/>
      <c r="G35" s="57"/>
      <c r="H35" s="57"/>
      <c r="I35" s="17"/>
      <c r="Q35" s="66"/>
      <c r="R35" s="208">
        <v>0</v>
      </c>
      <c r="S35" s="316">
        <f t="shared" si="2"/>
        <v>0</v>
      </c>
    </row>
    <row r="36" spans="1:19" x14ac:dyDescent="0.3">
      <c r="A36" s="82"/>
      <c r="B36" s="142"/>
      <c r="C36" s="63"/>
      <c r="D36" s="63"/>
      <c r="E36" s="63"/>
      <c r="F36" s="63"/>
      <c r="G36" s="63"/>
      <c r="H36" s="63"/>
      <c r="I36" s="17"/>
      <c r="Q36" s="66"/>
      <c r="R36" s="177">
        <v>4204922</v>
      </c>
      <c r="S36" s="316">
        <f t="shared" si="2"/>
        <v>350410.16666666669</v>
      </c>
    </row>
    <row r="37" spans="1:19" x14ac:dyDescent="0.3">
      <c r="A37" s="82"/>
      <c r="B37" s="142"/>
      <c r="C37" s="63"/>
      <c r="D37" s="63"/>
      <c r="E37" s="63"/>
      <c r="F37" s="63"/>
      <c r="G37" s="63"/>
      <c r="H37" s="63"/>
      <c r="I37" s="17"/>
      <c r="Q37" s="66"/>
    </row>
    <row r="38" spans="1:19" x14ac:dyDescent="0.3">
      <c r="A38" s="82"/>
      <c r="B38" s="143"/>
      <c r="C38" s="47"/>
      <c r="D38" s="59"/>
      <c r="E38" s="59"/>
      <c r="F38" s="59"/>
      <c r="G38" s="59"/>
      <c r="H38" s="59"/>
      <c r="I38" s="17"/>
      <c r="Q38" s="66"/>
    </row>
    <row r="39" spans="1:19" x14ac:dyDescent="0.3">
      <c r="A39" s="139"/>
      <c r="B39" s="77"/>
      <c r="C39" s="57"/>
      <c r="D39" s="57"/>
      <c r="E39" s="57"/>
      <c r="F39" s="57"/>
      <c r="G39" s="57"/>
      <c r="H39" s="57"/>
      <c r="I39" s="17"/>
    </row>
    <row r="40" spans="1:19" x14ac:dyDescent="0.3">
      <c r="A40" s="82"/>
      <c r="B40" s="142"/>
      <c r="C40" s="145"/>
      <c r="D40" s="145"/>
      <c r="E40" s="145"/>
      <c r="F40" s="145"/>
      <c r="G40" s="145"/>
      <c r="H40" s="145"/>
      <c r="I40" s="17"/>
    </row>
    <row r="41" spans="1:19" x14ac:dyDescent="0.3">
      <c r="A41" s="82"/>
      <c r="B41" s="144"/>
      <c r="C41" s="146"/>
      <c r="D41" s="146"/>
      <c r="E41" s="146"/>
      <c r="F41" s="146"/>
      <c r="G41" s="146"/>
      <c r="H41" s="146"/>
      <c r="I41" s="17"/>
    </row>
    <row r="42" spans="1:19" x14ac:dyDescent="0.3">
      <c r="A42" s="139"/>
      <c r="B42" s="55"/>
      <c r="C42" s="50"/>
      <c r="D42" s="50"/>
      <c r="E42" s="50"/>
      <c r="F42" s="50"/>
      <c r="G42" s="50"/>
      <c r="H42" s="50"/>
    </row>
  </sheetData>
  <mergeCells count="4">
    <mergeCell ref="A1:E1"/>
    <mergeCell ref="A2:E2"/>
    <mergeCell ref="M1:O2"/>
    <mergeCell ref="N3:O3"/>
  </mergeCells>
  <phoneticPr fontId="3" type="noConversion"/>
  <pageMargins left="0.43" right="0.51181102362204722" top="0.18" bottom="0.15748031496062992" header="0.22" footer="0.24"/>
  <pageSetup paperSize="9" scale="90" orientation="landscape" r:id="rId1"/>
  <headerFooter>
    <oddHeader xml:space="preserve">&amp;R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40"/>
  <sheetViews>
    <sheetView view="pageBreakPreview" zoomScaleNormal="100" zoomScaleSheetLayoutView="100" workbookViewId="0">
      <selection activeCell="L1" sqref="L1:O2"/>
    </sheetView>
  </sheetViews>
  <sheetFormatPr defaultColWidth="9.33203125" defaultRowHeight="14.4" x14ac:dyDescent="0.3"/>
  <cols>
    <col min="1" max="1" width="4.6640625" customWidth="1"/>
    <col min="2" max="2" width="39.6640625" customWidth="1"/>
    <col min="3" max="3" width="7.44140625" customWidth="1"/>
    <col min="4" max="4" width="7.6640625" customWidth="1"/>
    <col min="5" max="5" width="7.33203125" customWidth="1"/>
    <col min="6" max="10" width="7.44140625" customWidth="1"/>
    <col min="11" max="11" width="8.6640625" bestFit="1" customWidth="1"/>
    <col min="12" max="12" width="7.44140625" customWidth="1"/>
    <col min="13" max="14" width="7.6640625" bestFit="1" customWidth="1"/>
    <col min="15" max="15" width="8.6640625" customWidth="1"/>
  </cols>
  <sheetData>
    <row r="1" spans="1:18" ht="15" customHeight="1" x14ac:dyDescent="0.3">
      <c r="A1" s="667" t="s">
        <v>76</v>
      </c>
      <c r="B1" s="667"/>
      <c r="C1" s="667"/>
      <c r="D1" s="667"/>
      <c r="E1" s="667"/>
      <c r="F1" s="667"/>
      <c r="G1" s="667"/>
      <c r="H1" s="141"/>
      <c r="I1" s="141"/>
      <c r="J1" s="141"/>
      <c r="K1" s="141"/>
      <c r="L1" s="643" t="s">
        <v>538</v>
      </c>
      <c r="M1" s="697"/>
      <c r="N1" s="697"/>
      <c r="O1" s="697"/>
    </row>
    <row r="2" spans="1:18" ht="23.25" customHeight="1" x14ac:dyDescent="0.3">
      <c r="A2" s="667" t="s">
        <v>355</v>
      </c>
      <c r="B2" s="696"/>
      <c r="C2" s="696"/>
      <c r="D2" s="696"/>
      <c r="E2" s="696"/>
      <c r="F2" s="696"/>
      <c r="G2" s="696"/>
      <c r="H2" s="141"/>
      <c r="I2" s="141"/>
      <c r="J2" s="141"/>
      <c r="K2" s="141"/>
      <c r="L2" s="697"/>
      <c r="M2" s="697"/>
      <c r="N2" s="697"/>
      <c r="O2" s="697"/>
      <c r="Q2" s="66"/>
    </row>
    <row r="3" spans="1:18" ht="14.25" customHeight="1" x14ac:dyDescent="0.3">
      <c r="A3" s="141"/>
      <c r="B3" s="3"/>
      <c r="C3" s="3"/>
      <c r="D3" s="3"/>
      <c r="E3" s="3"/>
      <c r="F3" s="3"/>
      <c r="G3" s="3"/>
      <c r="H3" s="141"/>
      <c r="I3" s="141"/>
      <c r="J3" s="141"/>
      <c r="K3" s="141"/>
      <c r="L3" s="159" t="s">
        <v>213</v>
      </c>
      <c r="M3" s="148"/>
      <c r="N3" s="698" t="s">
        <v>418</v>
      </c>
      <c r="O3" s="698"/>
      <c r="Q3" s="66"/>
    </row>
    <row r="4" spans="1:18" ht="14.1" customHeight="1" x14ac:dyDescent="0.3">
      <c r="A4" s="183" t="s">
        <v>127</v>
      </c>
      <c r="B4" s="183" t="s">
        <v>46</v>
      </c>
      <c r="C4" s="183" t="s">
        <v>198</v>
      </c>
      <c r="D4" s="183" t="s">
        <v>199</v>
      </c>
      <c r="E4" s="183" t="s">
        <v>200</v>
      </c>
      <c r="F4" s="183" t="s">
        <v>201</v>
      </c>
      <c r="G4" s="183" t="s">
        <v>202</v>
      </c>
      <c r="H4" s="183" t="s">
        <v>311</v>
      </c>
      <c r="I4" s="183" t="s">
        <v>203</v>
      </c>
      <c r="J4" s="183" t="s">
        <v>204</v>
      </c>
      <c r="K4" s="183" t="s">
        <v>205</v>
      </c>
      <c r="L4" s="183" t="s">
        <v>206</v>
      </c>
      <c r="M4" s="183" t="s">
        <v>207</v>
      </c>
      <c r="N4" s="183" t="s">
        <v>208</v>
      </c>
      <c r="O4" s="183" t="s">
        <v>37</v>
      </c>
      <c r="Q4" s="66"/>
    </row>
    <row r="5" spans="1:18" ht="14.1" customHeight="1" x14ac:dyDescent="0.3">
      <c r="A5" s="110" t="s">
        <v>12</v>
      </c>
      <c r="B5" s="123" t="s">
        <v>104</v>
      </c>
      <c r="C5" s="149">
        <f>C6+C7+C8+C9+C10+C13</f>
        <v>186518</v>
      </c>
      <c r="D5" s="149">
        <f t="shared" ref="D5:N5" si="0">D6+D7+D8+D9+D10+D13</f>
        <v>178999</v>
      </c>
      <c r="E5" s="149">
        <f t="shared" si="0"/>
        <v>180800</v>
      </c>
      <c r="F5" s="149">
        <f t="shared" si="0"/>
        <v>217472</v>
      </c>
      <c r="G5" s="149">
        <f t="shared" si="0"/>
        <v>199465</v>
      </c>
      <c r="H5" s="149">
        <f t="shared" si="0"/>
        <v>193544</v>
      </c>
      <c r="I5" s="149">
        <f t="shared" si="0"/>
        <v>195465</v>
      </c>
      <c r="J5" s="149">
        <f t="shared" si="0"/>
        <v>196465</v>
      </c>
      <c r="K5" s="149">
        <f t="shared" si="0"/>
        <v>196466</v>
      </c>
      <c r="L5" s="149">
        <f t="shared" si="0"/>
        <v>210469</v>
      </c>
      <c r="M5" s="149">
        <f t="shared" si="0"/>
        <v>193463</v>
      </c>
      <c r="N5" s="149">
        <f t="shared" si="0"/>
        <v>216473</v>
      </c>
      <c r="O5" s="149">
        <f>C5+D5+E5+F5+G5+H5+I5+J5+K5+L5+M5+N5</f>
        <v>2365599</v>
      </c>
      <c r="Q5" s="177">
        <v>2145157</v>
      </c>
    </row>
    <row r="6" spans="1:18" ht="14.1" customHeight="1" x14ac:dyDescent="0.3">
      <c r="A6" s="40" t="s">
        <v>60</v>
      </c>
      <c r="B6" s="23" t="s">
        <v>7</v>
      </c>
      <c r="C6" s="41">
        <v>67892</v>
      </c>
      <c r="D6" s="41">
        <v>67892</v>
      </c>
      <c r="E6" s="182">
        <v>67892</v>
      </c>
      <c r="F6" s="182">
        <v>67892</v>
      </c>
      <c r="G6" s="182">
        <v>67892</v>
      </c>
      <c r="H6" s="182">
        <v>67892</v>
      </c>
      <c r="I6" s="182">
        <v>67892</v>
      </c>
      <c r="J6" s="182">
        <v>67892</v>
      </c>
      <c r="K6" s="182">
        <v>67892</v>
      </c>
      <c r="L6" s="182">
        <v>67892</v>
      </c>
      <c r="M6" s="182">
        <v>67892</v>
      </c>
      <c r="N6" s="182">
        <v>67896</v>
      </c>
      <c r="O6" s="149">
        <f t="shared" ref="O6:O25" si="1">C6+D6+E6+F6+G6+H6+I6+J6+K6+L6+M6+N6</f>
        <v>814708</v>
      </c>
      <c r="P6" s="218">
        <f t="shared" ref="P6:P12" si="2">+Q6/12</f>
        <v>67892.333333333328</v>
      </c>
      <c r="Q6" s="177">
        <v>814708</v>
      </c>
    </row>
    <row r="7" spans="1:18" ht="13.5" customHeight="1" x14ac:dyDescent="0.3">
      <c r="A7" s="40" t="s">
        <v>61</v>
      </c>
      <c r="B7" s="23" t="s">
        <v>209</v>
      </c>
      <c r="C7" s="41">
        <v>12653</v>
      </c>
      <c r="D7" s="41">
        <v>12653</v>
      </c>
      <c r="E7" s="41">
        <v>12653</v>
      </c>
      <c r="F7" s="41">
        <v>12653</v>
      </c>
      <c r="G7" s="41">
        <v>12653</v>
      </c>
      <c r="H7" s="41">
        <v>12653</v>
      </c>
      <c r="I7" s="41">
        <v>12653</v>
      </c>
      <c r="J7" s="41">
        <v>12653</v>
      </c>
      <c r="K7" s="41">
        <v>12653</v>
      </c>
      <c r="L7" s="41">
        <v>12653</v>
      </c>
      <c r="M7" s="182">
        <v>12651</v>
      </c>
      <c r="N7" s="182">
        <v>12651</v>
      </c>
      <c r="O7" s="149">
        <f t="shared" si="1"/>
        <v>151832</v>
      </c>
      <c r="P7" s="218">
        <f t="shared" si="2"/>
        <v>12652.666666666666</v>
      </c>
      <c r="Q7" s="177">
        <v>151832</v>
      </c>
    </row>
    <row r="8" spans="1:18" ht="14.1" customHeight="1" x14ac:dyDescent="0.3">
      <c r="A8" s="40" t="s">
        <v>62</v>
      </c>
      <c r="B8" s="23" t="s">
        <v>109</v>
      </c>
      <c r="C8" s="41">
        <v>58272</v>
      </c>
      <c r="D8" s="41">
        <v>58272</v>
      </c>
      <c r="E8" s="41">
        <v>58272</v>
      </c>
      <c r="F8" s="41">
        <v>58272</v>
      </c>
      <c r="G8" s="41">
        <v>58272</v>
      </c>
      <c r="H8" s="41">
        <v>58272</v>
      </c>
      <c r="I8" s="41">
        <v>58272</v>
      </c>
      <c r="J8" s="41">
        <v>58272</v>
      </c>
      <c r="K8" s="41">
        <v>58272</v>
      </c>
      <c r="L8" s="41">
        <v>58272</v>
      </c>
      <c r="M8" s="41">
        <v>58272</v>
      </c>
      <c r="N8" s="41">
        <v>58273</v>
      </c>
      <c r="O8" s="149">
        <f t="shared" si="1"/>
        <v>699265</v>
      </c>
      <c r="P8" s="218">
        <f t="shared" si="2"/>
        <v>58272.083333333336</v>
      </c>
      <c r="Q8" s="177">
        <v>699265</v>
      </c>
    </row>
    <row r="9" spans="1:18" ht="14.1" customHeight="1" x14ac:dyDescent="0.3">
      <c r="A9" s="40" t="s">
        <v>63</v>
      </c>
      <c r="B9" s="23" t="s">
        <v>110</v>
      </c>
      <c r="C9" s="41">
        <v>1416</v>
      </c>
      <c r="D9" s="41">
        <v>1416</v>
      </c>
      <c r="E9" s="41">
        <v>1417</v>
      </c>
      <c r="F9" s="41">
        <v>1416</v>
      </c>
      <c r="G9" s="41">
        <v>1416</v>
      </c>
      <c r="H9" s="41">
        <v>1417</v>
      </c>
      <c r="I9" s="41">
        <v>1416</v>
      </c>
      <c r="J9" s="41">
        <v>1416</v>
      </c>
      <c r="K9" s="182">
        <v>1417</v>
      </c>
      <c r="L9" s="182">
        <v>1416</v>
      </c>
      <c r="M9" s="182">
        <v>1416</v>
      </c>
      <c r="N9" s="182">
        <v>1421</v>
      </c>
      <c r="O9" s="149">
        <f t="shared" si="1"/>
        <v>17000</v>
      </c>
      <c r="P9" s="218">
        <f t="shared" si="2"/>
        <v>1416.6666666666667</v>
      </c>
      <c r="Q9" s="177">
        <v>17000</v>
      </c>
    </row>
    <row r="10" spans="1:18" ht="14.1" customHeight="1" x14ac:dyDescent="0.3">
      <c r="A10" s="40" t="s">
        <v>64</v>
      </c>
      <c r="B10" s="23" t="s">
        <v>111</v>
      </c>
      <c r="C10" s="41">
        <f>SUM(C11:C12)</f>
        <v>46285</v>
      </c>
      <c r="D10" s="41">
        <f t="shared" ref="D10:N10" si="3">SUM(D11:D12)</f>
        <v>38766</v>
      </c>
      <c r="E10" s="41">
        <f t="shared" si="3"/>
        <v>38566</v>
      </c>
      <c r="F10" s="41">
        <f t="shared" si="3"/>
        <v>62239</v>
      </c>
      <c r="G10" s="41">
        <f t="shared" si="3"/>
        <v>44232</v>
      </c>
      <c r="H10" s="41">
        <f t="shared" si="3"/>
        <v>43310</v>
      </c>
      <c r="I10" s="41">
        <f t="shared" si="3"/>
        <v>45232</v>
      </c>
      <c r="J10" s="41">
        <f t="shared" si="3"/>
        <v>41232</v>
      </c>
      <c r="K10" s="41">
        <f t="shared" si="3"/>
        <v>41232</v>
      </c>
      <c r="L10" s="41">
        <f t="shared" si="3"/>
        <v>58236</v>
      </c>
      <c r="M10" s="41">
        <f t="shared" si="3"/>
        <v>41232</v>
      </c>
      <c r="N10" s="41">
        <f t="shared" si="3"/>
        <v>68232</v>
      </c>
      <c r="O10" s="149">
        <f t="shared" si="1"/>
        <v>568794</v>
      </c>
      <c r="P10" s="218">
        <f t="shared" si="2"/>
        <v>47399.5</v>
      </c>
      <c r="Q10" s="177">
        <v>568794</v>
      </c>
    </row>
    <row r="11" spans="1:18" x14ac:dyDescent="0.3">
      <c r="A11" s="122" t="s">
        <v>105</v>
      </c>
      <c r="B11" s="23" t="s">
        <v>112</v>
      </c>
      <c r="C11" s="41">
        <v>20080</v>
      </c>
      <c r="D11" s="41">
        <v>19316</v>
      </c>
      <c r="E11" s="41">
        <v>19116</v>
      </c>
      <c r="F11" s="41">
        <v>21782</v>
      </c>
      <c r="G11" s="41">
        <f>21782+3000</f>
        <v>24782</v>
      </c>
      <c r="H11" s="41">
        <f>21782+2078</f>
        <v>23860</v>
      </c>
      <c r="I11" s="41">
        <f>21782+4000</f>
        <v>25782</v>
      </c>
      <c r="J11" s="41">
        <v>21782</v>
      </c>
      <c r="K11" s="41">
        <v>21782</v>
      </c>
      <c r="L11" s="41">
        <v>21782</v>
      </c>
      <c r="M11" s="41">
        <v>21782</v>
      </c>
      <c r="N11" s="41">
        <f>21782+27000</f>
        <v>48782</v>
      </c>
      <c r="O11" s="149">
        <f t="shared" si="1"/>
        <v>290628</v>
      </c>
      <c r="P11" s="218">
        <f t="shared" si="2"/>
        <v>24219</v>
      </c>
      <c r="Q11" s="177">
        <v>290628</v>
      </c>
      <c r="R11" s="17"/>
    </row>
    <row r="12" spans="1:18" x14ac:dyDescent="0.3">
      <c r="A12" s="122" t="s">
        <v>106</v>
      </c>
      <c r="B12" s="23" t="s">
        <v>113</v>
      </c>
      <c r="C12" s="41">
        <f>19450+6755</f>
        <v>26205</v>
      </c>
      <c r="D12" s="41">
        <v>19450</v>
      </c>
      <c r="E12" s="41">
        <v>19450</v>
      </c>
      <c r="F12" s="41">
        <f>19450+4507+16500</f>
        <v>40457</v>
      </c>
      <c r="G12" s="41">
        <v>19450</v>
      </c>
      <c r="H12" s="41">
        <v>19450</v>
      </c>
      <c r="I12" s="41">
        <v>19450</v>
      </c>
      <c r="J12" s="41">
        <v>19450</v>
      </c>
      <c r="K12" s="41">
        <v>19450</v>
      </c>
      <c r="L12" s="41">
        <v>36454</v>
      </c>
      <c r="M12" s="41">
        <v>19450</v>
      </c>
      <c r="N12" s="41">
        <v>19450</v>
      </c>
      <c r="O12" s="149">
        <f t="shared" si="1"/>
        <v>278166</v>
      </c>
      <c r="P12" s="218">
        <f t="shared" si="2"/>
        <v>23180.5</v>
      </c>
      <c r="Q12" s="177">
        <v>278166</v>
      </c>
      <c r="R12" s="17"/>
    </row>
    <row r="13" spans="1:18" ht="14.1" customHeight="1" x14ac:dyDescent="0.3">
      <c r="A13" s="122" t="s">
        <v>107</v>
      </c>
      <c r="B13" s="23" t="s">
        <v>9</v>
      </c>
      <c r="C13" s="41">
        <v>0</v>
      </c>
      <c r="D13" s="41">
        <v>0</v>
      </c>
      <c r="E13" s="41">
        <v>2000</v>
      </c>
      <c r="F13" s="41">
        <v>15000</v>
      </c>
      <c r="G13" s="41">
        <v>15000</v>
      </c>
      <c r="H13" s="41">
        <v>10000</v>
      </c>
      <c r="I13" s="41">
        <v>10000</v>
      </c>
      <c r="J13" s="41">
        <v>15000</v>
      </c>
      <c r="K13" s="41">
        <v>15000</v>
      </c>
      <c r="L13" s="41">
        <v>12000</v>
      </c>
      <c r="M13" s="41">
        <v>12000</v>
      </c>
      <c r="N13" s="41">
        <v>8000</v>
      </c>
      <c r="O13" s="149">
        <f t="shared" si="1"/>
        <v>114000</v>
      </c>
      <c r="P13" s="218">
        <f>+Q13/10</f>
        <v>11400</v>
      </c>
      <c r="Q13" s="177">
        <v>114000</v>
      </c>
    </row>
    <row r="14" spans="1:18" ht="14.1" customHeight="1" x14ac:dyDescent="0.3">
      <c r="A14" s="122" t="s">
        <v>13</v>
      </c>
      <c r="B14" s="23" t="s">
        <v>114</v>
      </c>
      <c r="C14" s="41">
        <f>SUM(C15:C17)</f>
        <v>0</v>
      </c>
      <c r="D14" s="41">
        <f t="shared" ref="D14:N14" si="4">SUM(D15:D17)</f>
        <v>0</v>
      </c>
      <c r="E14" s="41">
        <f t="shared" si="4"/>
        <v>0</v>
      </c>
      <c r="F14" s="41">
        <f t="shared" si="4"/>
        <v>185000</v>
      </c>
      <c r="G14" s="41">
        <f t="shared" si="4"/>
        <v>230000</v>
      </c>
      <c r="H14" s="41">
        <f t="shared" si="4"/>
        <v>0</v>
      </c>
      <c r="I14" s="41">
        <f t="shared" si="4"/>
        <v>175000</v>
      </c>
      <c r="J14" s="41">
        <f t="shared" si="4"/>
        <v>150000</v>
      </c>
      <c r="K14" s="41">
        <f t="shared" si="4"/>
        <v>452758</v>
      </c>
      <c r="L14" s="41">
        <f t="shared" si="4"/>
        <v>143995</v>
      </c>
      <c r="M14" s="41">
        <f t="shared" si="4"/>
        <v>50000</v>
      </c>
      <c r="N14" s="41">
        <f t="shared" si="4"/>
        <v>200000</v>
      </c>
      <c r="O14" s="149">
        <f t="shared" si="1"/>
        <v>1586753</v>
      </c>
      <c r="P14" s="218">
        <f t="shared" ref="P14:P25" si="5">+Q14/12</f>
        <v>167801.08333333334</v>
      </c>
      <c r="Q14" s="177">
        <v>2013613</v>
      </c>
    </row>
    <row r="15" spans="1:18" ht="14.1" customHeight="1" x14ac:dyDescent="0.3">
      <c r="A15" s="122" t="s">
        <v>55</v>
      </c>
      <c r="B15" s="23" t="s">
        <v>10</v>
      </c>
      <c r="C15" s="41">
        <v>0</v>
      </c>
      <c r="D15" s="41">
        <v>0</v>
      </c>
      <c r="E15" s="41">
        <v>0</v>
      </c>
      <c r="F15" s="41">
        <f>125000+60000</f>
        <v>185000</v>
      </c>
      <c r="G15" s="41">
        <f>80000+100000</f>
        <v>180000</v>
      </c>
      <c r="H15" s="41">
        <v>0</v>
      </c>
      <c r="I15" s="41">
        <v>100000</v>
      </c>
      <c r="J15" s="41">
        <v>150000</v>
      </c>
      <c r="K15" s="41">
        <v>452758</v>
      </c>
      <c r="L15" s="41">
        <v>143995</v>
      </c>
      <c r="M15" s="41">
        <v>50000</v>
      </c>
      <c r="N15" s="41">
        <v>200000</v>
      </c>
      <c r="O15" s="149">
        <f t="shared" si="1"/>
        <v>1461753</v>
      </c>
      <c r="P15" s="218">
        <f t="shared" si="5"/>
        <v>121812.75</v>
      </c>
      <c r="Q15" s="177">
        <v>1461753</v>
      </c>
      <c r="R15" s="17"/>
    </row>
    <row r="16" spans="1:18" ht="14.1" customHeight="1" x14ac:dyDescent="0.3">
      <c r="A16" s="122" t="s">
        <v>56</v>
      </c>
      <c r="B16" s="23" t="s">
        <v>11</v>
      </c>
      <c r="C16" s="177">
        <v>0</v>
      </c>
      <c r="D16" s="41">
        <v>0</v>
      </c>
      <c r="E16" s="41">
        <v>0</v>
      </c>
      <c r="F16" s="41">
        <v>0</v>
      </c>
      <c r="G16" s="41">
        <v>50000</v>
      </c>
      <c r="H16" s="41">
        <v>0</v>
      </c>
      <c r="I16" s="41">
        <v>75000</v>
      </c>
      <c r="J16" s="41">
        <v>0</v>
      </c>
      <c r="K16" s="41">
        <v>0</v>
      </c>
      <c r="L16" s="41">
        <v>0</v>
      </c>
      <c r="M16" s="41">
        <v>0</v>
      </c>
      <c r="N16" s="182">
        <v>0</v>
      </c>
      <c r="O16" s="149">
        <f t="shared" si="1"/>
        <v>125000</v>
      </c>
      <c r="P16" s="218">
        <f t="shared" si="5"/>
        <v>10416.666666666666</v>
      </c>
      <c r="Q16" s="177">
        <v>125000</v>
      </c>
      <c r="R16" s="17"/>
    </row>
    <row r="17" spans="1:17" ht="14.1" customHeight="1" x14ac:dyDescent="0.3">
      <c r="A17" s="122" t="s">
        <v>65</v>
      </c>
      <c r="B17" s="23" t="s">
        <v>115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182">
        <v>0</v>
      </c>
      <c r="O17" s="149">
        <f t="shared" si="1"/>
        <v>0</v>
      </c>
      <c r="P17" s="218">
        <f t="shared" si="5"/>
        <v>0</v>
      </c>
      <c r="Q17" s="177">
        <v>0</v>
      </c>
    </row>
    <row r="18" spans="1:17" ht="14.1" customHeight="1" x14ac:dyDescent="0.3">
      <c r="A18" s="122" t="s">
        <v>14</v>
      </c>
      <c r="B18" s="22" t="s">
        <v>116</v>
      </c>
      <c r="C18" s="41">
        <f>C5+C14</f>
        <v>186518</v>
      </c>
      <c r="D18" s="41">
        <f t="shared" ref="D18:O18" si="6">D5+D14</f>
        <v>178999</v>
      </c>
      <c r="E18" s="41">
        <f t="shared" si="6"/>
        <v>180800</v>
      </c>
      <c r="F18" s="41">
        <f t="shared" si="6"/>
        <v>402472</v>
      </c>
      <c r="G18" s="41">
        <f t="shared" si="6"/>
        <v>429465</v>
      </c>
      <c r="H18" s="41">
        <f t="shared" si="6"/>
        <v>193544</v>
      </c>
      <c r="I18" s="41">
        <f t="shared" si="6"/>
        <v>370465</v>
      </c>
      <c r="J18" s="41">
        <f t="shared" si="6"/>
        <v>346465</v>
      </c>
      <c r="K18" s="41">
        <f t="shared" si="6"/>
        <v>649224</v>
      </c>
      <c r="L18" s="41">
        <f t="shared" si="6"/>
        <v>354464</v>
      </c>
      <c r="M18" s="41">
        <f t="shared" si="6"/>
        <v>243463</v>
      </c>
      <c r="N18" s="41">
        <f t="shared" si="6"/>
        <v>416473</v>
      </c>
      <c r="O18" s="41">
        <f t="shared" si="6"/>
        <v>3952352</v>
      </c>
      <c r="P18" s="218">
        <f t="shared" si="5"/>
        <v>346564.16666666669</v>
      </c>
      <c r="Q18" s="177">
        <v>4158770</v>
      </c>
    </row>
    <row r="19" spans="1:17" ht="14.1" customHeight="1" x14ac:dyDescent="0.3">
      <c r="A19" s="40" t="s">
        <v>15</v>
      </c>
      <c r="B19" s="23" t="s">
        <v>210</v>
      </c>
      <c r="C19" s="41">
        <v>3846</v>
      </c>
      <c r="D19" s="41">
        <v>3846</v>
      </c>
      <c r="E19" s="41">
        <v>3846</v>
      </c>
      <c r="F19" s="41">
        <v>3846</v>
      </c>
      <c r="G19" s="41">
        <v>3846</v>
      </c>
      <c r="H19" s="41">
        <v>3846</v>
      </c>
      <c r="I19" s="41">
        <f t="shared" ref="I19:N19" si="7">3846+2536</f>
        <v>6382</v>
      </c>
      <c r="J19" s="41">
        <f t="shared" si="7"/>
        <v>6382</v>
      </c>
      <c r="K19" s="41">
        <f t="shared" si="7"/>
        <v>6382</v>
      </c>
      <c r="L19" s="41">
        <f t="shared" si="7"/>
        <v>6382</v>
      </c>
      <c r="M19" s="41">
        <f t="shared" si="7"/>
        <v>6382</v>
      </c>
      <c r="N19" s="41">
        <f t="shared" si="7"/>
        <v>6382</v>
      </c>
      <c r="O19" s="149">
        <f t="shared" si="1"/>
        <v>61368</v>
      </c>
      <c r="P19" s="218">
        <f t="shared" si="5"/>
        <v>3846</v>
      </c>
      <c r="Q19" s="177">
        <v>46152</v>
      </c>
    </row>
    <row r="20" spans="1:17" ht="14.1" customHeight="1" x14ac:dyDescent="0.3">
      <c r="A20" s="40" t="s">
        <v>16</v>
      </c>
      <c r="B20" s="23" t="s">
        <v>382</v>
      </c>
      <c r="C20" s="41">
        <v>32301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82">
        <v>0</v>
      </c>
      <c r="O20" s="149">
        <f t="shared" si="1"/>
        <v>32301</v>
      </c>
      <c r="P20" s="218">
        <f t="shared" si="5"/>
        <v>0</v>
      </c>
      <c r="Q20" s="177">
        <v>0</v>
      </c>
    </row>
    <row r="21" spans="1:17" ht="14.1" customHeight="1" x14ac:dyDescent="0.3">
      <c r="A21" s="40" t="s">
        <v>17</v>
      </c>
      <c r="B21" s="23" t="s">
        <v>119</v>
      </c>
      <c r="C21" s="182">
        <v>90078</v>
      </c>
      <c r="D21" s="182">
        <v>90078</v>
      </c>
      <c r="E21" s="182">
        <v>90078</v>
      </c>
      <c r="F21" s="182">
        <v>90078</v>
      </c>
      <c r="G21" s="182">
        <v>90078</v>
      </c>
      <c r="H21" s="182">
        <v>90078</v>
      </c>
      <c r="I21" s="92">
        <v>90078</v>
      </c>
      <c r="J21" s="92">
        <v>90078</v>
      </c>
      <c r="K21" s="92">
        <v>90078</v>
      </c>
      <c r="L21" s="92">
        <v>90078</v>
      </c>
      <c r="M21" s="92">
        <v>90078</v>
      </c>
      <c r="N21" s="92">
        <v>90078</v>
      </c>
      <c r="O21" s="149">
        <f t="shared" si="1"/>
        <v>1080936</v>
      </c>
      <c r="P21" s="218">
        <f t="shared" si="5"/>
        <v>90078</v>
      </c>
      <c r="Q21" s="177">
        <v>1080936</v>
      </c>
    </row>
    <row r="22" spans="1:17" ht="14.1" customHeight="1" x14ac:dyDescent="0.3">
      <c r="A22" s="40"/>
      <c r="B22" s="23" t="s">
        <v>120</v>
      </c>
      <c r="C22" s="182">
        <v>90078</v>
      </c>
      <c r="D22" s="182">
        <v>90078</v>
      </c>
      <c r="E22" s="182">
        <v>90078</v>
      </c>
      <c r="F22" s="182">
        <v>90078</v>
      </c>
      <c r="G22" s="182">
        <v>90078</v>
      </c>
      <c r="H22" s="182">
        <v>90078</v>
      </c>
      <c r="I22" s="92">
        <v>90078</v>
      </c>
      <c r="J22" s="92">
        <v>90078</v>
      </c>
      <c r="K22" s="92">
        <v>90078</v>
      </c>
      <c r="L22" s="92">
        <v>90078</v>
      </c>
      <c r="M22" s="92">
        <v>90078</v>
      </c>
      <c r="N22" s="92">
        <v>90078</v>
      </c>
      <c r="O22" s="149">
        <f t="shared" si="1"/>
        <v>1080936</v>
      </c>
      <c r="P22" s="218">
        <f t="shared" si="5"/>
        <v>90078</v>
      </c>
      <c r="Q22" s="177">
        <v>1080936</v>
      </c>
    </row>
    <row r="23" spans="1:17" ht="14.1" customHeight="1" x14ac:dyDescent="0.3">
      <c r="A23" s="40" t="s">
        <v>18</v>
      </c>
      <c r="B23" s="23" t="s">
        <v>121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182">
        <v>0</v>
      </c>
      <c r="O23" s="149">
        <f t="shared" si="1"/>
        <v>0</v>
      </c>
      <c r="P23" s="218">
        <f t="shared" si="5"/>
        <v>0</v>
      </c>
      <c r="Q23" s="177">
        <v>0</v>
      </c>
    </row>
    <row r="24" spans="1:17" ht="14.1" customHeight="1" x14ac:dyDescent="0.3">
      <c r="A24" s="40" t="s">
        <v>19</v>
      </c>
      <c r="B24" s="22" t="s">
        <v>122</v>
      </c>
      <c r="C24" s="41">
        <f>C19+C20+C21+C23</f>
        <v>126225</v>
      </c>
      <c r="D24" s="41">
        <f t="shared" ref="D24:N24" si="8">D19+D20+D21+D23</f>
        <v>93924</v>
      </c>
      <c r="E24" s="41">
        <f t="shared" si="8"/>
        <v>93924</v>
      </c>
      <c r="F24" s="41">
        <f t="shared" si="8"/>
        <v>93924</v>
      </c>
      <c r="G24" s="41">
        <f t="shared" si="8"/>
        <v>93924</v>
      </c>
      <c r="H24" s="41">
        <f t="shared" si="8"/>
        <v>93924</v>
      </c>
      <c r="I24" s="41">
        <f t="shared" si="8"/>
        <v>96460</v>
      </c>
      <c r="J24" s="41">
        <f t="shared" si="8"/>
        <v>96460</v>
      </c>
      <c r="K24" s="41">
        <f t="shared" si="8"/>
        <v>96460</v>
      </c>
      <c r="L24" s="41">
        <f t="shared" si="8"/>
        <v>96460</v>
      </c>
      <c r="M24" s="41">
        <f t="shared" si="8"/>
        <v>96460</v>
      </c>
      <c r="N24" s="41">
        <f t="shared" si="8"/>
        <v>96460</v>
      </c>
      <c r="O24" s="149">
        <f t="shared" si="1"/>
        <v>1174605</v>
      </c>
      <c r="P24" s="218">
        <f t="shared" si="5"/>
        <v>0</v>
      </c>
      <c r="Q24" s="177">
        <v>0</v>
      </c>
    </row>
    <row r="25" spans="1:17" ht="14.1" customHeight="1" x14ac:dyDescent="0.3">
      <c r="A25" s="121" t="s">
        <v>20</v>
      </c>
      <c r="B25" s="195" t="s">
        <v>123</v>
      </c>
      <c r="C25" s="177">
        <f>+C18+C24</f>
        <v>312743</v>
      </c>
      <c r="D25" s="177">
        <f t="shared" ref="D25:N25" si="9">+D18+D24</f>
        <v>272923</v>
      </c>
      <c r="E25" s="177">
        <f t="shared" si="9"/>
        <v>274724</v>
      </c>
      <c r="F25" s="177">
        <f t="shared" si="9"/>
        <v>496396</v>
      </c>
      <c r="G25" s="177">
        <f t="shared" si="9"/>
        <v>523389</v>
      </c>
      <c r="H25" s="177">
        <f t="shared" si="9"/>
        <v>287468</v>
      </c>
      <c r="I25" s="177">
        <f t="shared" si="9"/>
        <v>466925</v>
      </c>
      <c r="J25" s="177">
        <f t="shared" si="9"/>
        <v>442925</v>
      </c>
      <c r="K25" s="177">
        <f t="shared" si="9"/>
        <v>745684</v>
      </c>
      <c r="L25" s="177">
        <f t="shared" si="9"/>
        <v>450924</v>
      </c>
      <c r="M25" s="177">
        <f t="shared" si="9"/>
        <v>339923</v>
      </c>
      <c r="N25" s="177">
        <f t="shared" si="9"/>
        <v>512933</v>
      </c>
      <c r="O25" s="169">
        <f t="shared" si="1"/>
        <v>5126957</v>
      </c>
      <c r="P25" s="218">
        <f t="shared" si="5"/>
        <v>377520.91666666669</v>
      </c>
      <c r="Q25" s="66">
        <v>4530251</v>
      </c>
    </row>
    <row r="26" spans="1:17" ht="14.1" customHeight="1" x14ac:dyDescent="0.3">
      <c r="A26" s="126"/>
      <c r="B26" s="5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127"/>
      <c r="O26" s="63"/>
    </row>
    <row r="27" spans="1:17" ht="14.1" customHeight="1" x14ac:dyDescent="0.3">
      <c r="A27" s="126"/>
      <c r="B27" s="77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127"/>
      <c r="O27" s="63"/>
    </row>
    <row r="28" spans="1:17" ht="14.1" customHeight="1" x14ac:dyDescent="0.3">
      <c r="A28" s="126"/>
      <c r="B28" s="55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218">
        <f>+Q28/12</f>
        <v>76943.833333333328</v>
      </c>
      <c r="Q28" s="66">
        <v>923326</v>
      </c>
    </row>
    <row r="29" spans="1:17" ht="14.1" customHeight="1" x14ac:dyDescent="0.3">
      <c r="A29" s="126"/>
      <c r="B29" s="55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218">
        <f>+Q29/12</f>
        <v>0</v>
      </c>
      <c r="Q29" s="66">
        <v>0</v>
      </c>
    </row>
    <row r="30" spans="1:17" ht="14.1" customHeight="1" x14ac:dyDescent="0.3">
      <c r="A30" s="126"/>
      <c r="B30" s="55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218">
        <f>+Q30/12</f>
        <v>300577.08333333331</v>
      </c>
      <c r="Q30" s="66">
        <v>3606925</v>
      </c>
    </row>
    <row r="31" spans="1:17" ht="14.1" customHeight="1" x14ac:dyDescent="0.3">
      <c r="A31" s="126"/>
      <c r="B31" s="55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7" ht="14.1" customHeight="1" x14ac:dyDescent="0.3">
      <c r="A32" s="126"/>
      <c r="B32" s="55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x14ac:dyDescent="0.3">
      <c r="A33" s="126"/>
      <c r="B33" s="5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3">
      <c r="A34" s="126"/>
      <c r="B34" s="55"/>
      <c r="C34" s="57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x14ac:dyDescent="0.3">
      <c r="A35" s="126"/>
      <c r="B35" s="55"/>
      <c r="C35" s="57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x14ac:dyDescent="0.3">
      <c r="A36" s="126"/>
      <c r="B36" s="7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x14ac:dyDescent="0.3">
      <c r="A37" s="126"/>
      <c r="B37" s="50"/>
      <c r="C37" s="8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s="160" customFormat="1" x14ac:dyDescent="0.3">
      <c r="A38" s="126"/>
      <c r="B38" s="50"/>
      <c r="C38" s="8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40" spans="1:15" ht="21" customHeight="1" x14ac:dyDescent="0.3"/>
  </sheetData>
  <mergeCells count="4">
    <mergeCell ref="A1:G1"/>
    <mergeCell ref="A2:G2"/>
    <mergeCell ref="L1:O2"/>
    <mergeCell ref="N3:O3"/>
  </mergeCells>
  <phoneticPr fontId="3" type="noConversion"/>
  <pageMargins left="0.51181102362204722" right="0.45833333333333331" top="0.4" bottom="0.38" header="0.31496062992125984" footer="0.31496062992125984"/>
  <pageSetup paperSize="9" scale="89" orientation="landscape" r:id="rId1"/>
  <headerFooter>
    <oddFooter xml:space="preserve">&amp;R&amp;P/&amp;N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5"/>
  <sheetViews>
    <sheetView view="pageBreakPreview" zoomScale="90" zoomScaleNormal="100" zoomScaleSheetLayoutView="90" workbookViewId="0"/>
  </sheetViews>
  <sheetFormatPr defaultRowHeight="14.4" x14ac:dyDescent="0.3"/>
  <cols>
    <col min="1" max="1" width="8" customWidth="1"/>
    <col min="2" max="2" width="41.109375" customWidth="1"/>
    <col min="3" max="3" width="30.6640625" customWidth="1"/>
    <col min="4" max="4" width="19.33203125" style="221" bestFit="1" customWidth="1"/>
    <col min="5" max="5" width="72.6640625" bestFit="1" customWidth="1"/>
    <col min="6" max="6" width="9.33203125" hidden="1" customWidth="1"/>
    <col min="7" max="7" width="13.5546875" customWidth="1"/>
  </cols>
  <sheetData>
    <row r="1" spans="1:6" ht="14.4" customHeight="1" x14ac:dyDescent="0.3">
      <c r="A1" s="221" t="s">
        <v>562</v>
      </c>
      <c r="D1" s="222"/>
      <c r="E1" s="222" t="s">
        <v>539</v>
      </c>
      <c r="F1" s="584"/>
    </row>
    <row r="2" spans="1:6" x14ac:dyDescent="0.3">
      <c r="C2" s="292" t="s">
        <v>356</v>
      </c>
      <c r="D2" s="584"/>
      <c r="E2" s="584"/>
      <c r="F2" s="584"/>
    </row>
    <row r="4" spans="1:6" x14ac:dyDescent="0.3">
      <c r="A4" s="191"/>
      <c r="B4" s="516" t="s">
        <v>32</v>
      </c>
      <c r="C4" s="516" t="s">
        <v>241</v>
      </c>
      <c r="D4" s="516" t="s">
        <v>383</v>
      </c>
      <c r="E4" s="517" t="s">
        <v>430</v>
      </c>
    </row>
    <row r="5" spans="1:6" ht="20.399999999999999" x14ac:dyDescent="0.3">
      <c r="A5" s="518" t="s">
        <v>253</v>
      </c>
      <c r="B5" s="519" t="s">
        <v>495</v>
      </c>
      <c r="C5" s="187" t="s">
        <v>251</v>
      </c>
      <c r="D5" s="152">
        <v>30000000</v>
      </c>
      <c r="E5" s="187"/>
    </row>
    <row r="6" spans="1:6" x14ac:dyDescent="0.3">
      <c r="A6" s="520" t="s">
        <v>384</v>
      </c>
      <c r="B6" s="521" t="s">
        <v>385</v>
      </c>
      <c r="C6" s="91" t="s">
        <v>251</v>
      </c>
      <c r="D6" s="194">
        <v>138269000</v>
      </c>
      <c r="E6" s="376" t="s">
        <v>496</v>
      </c>
    </row>
    <row r="7" spans="1:6" x14ac:dyDescent="0.3">
      <c r="A7" s="520" t="s">
        <v>254</v>
      </c>
      <c r="B7" s="521" t="s">
        <v>386</v>
      </c>
      <c r="C7" s="91" t="s">
        <v>251</v>
      </c>
      <c r="D7" s="194">
        <v>27630000</v>
      </c>
      <c r="E7" s="376" t="s">
        <v>496</v>
      </c>
    </row>
    <row r="8" spans="1:6" ht="20.399999999999999" x14ac:dyDescent="0.3">
      <c r="A8" s="518" t="s">
        <v>235</v>
      </c>
      <c r="B8" s="519" t="s">
        <v>497</v>
      </c>
      <c r="C8" s="187" t="s">
        <v>251</v>
      </c>
      <c r="D8" s="152">
        <v>101600000</v>
      </c>
      <c r="E8" s="187"/>
    </row>
    <row r="9" spans="1:6" ht="20.399999999999999" x14ac:dyDescent="0.3">
      <c r="A9" s="518" t="s">
        <v>388</v>
      </c>
      <c r="B9" s="519" t="s">
        <v>319</v>
      </c>
      <c r="C9" s="187" t="s">
        <v>251</v>
      </c>
      <c r="D9" s="152">
        <v>60000000</v>
      </c>
      <c r="E9" s="187"/>
    </row>
    <row r="10" spans="1:6" x14ac:dyDescent="0.3">
      <c r="A10" s="518" t="s">
        <v>236</v>
      </c>
      <c r="B10" s="519" t="s">
        <v>389</v>
      </c>
      <c r="C10" s="187" t="s">
        <v>251</v>
      </c>
      <c r="D10" s="152">
        <v>0</v>
      </c>
      <c r="E10" s="187"/>
    </row>
    <row r="11" spans="1:6" x14ac:dyDescent="0.3">
      <c r="A11" s="522" t="s">
        <v>498</v>
      </c>
      <c r="B11" s="523" t="s">
        <v>320</v>
      </c>
      <c r="C11" s="91" t="s">
        <v>251</v>
      </c>
      <c r="D11" s="194">
        <v>0</v>
      </c>
      <c r="E11" s="699" t="s">
        <v>499</v>
      </c>
    </row>
    <row r="12" spans="1:6" x14ac:dyDescent="0.3">
      <c r="A12" s="522" t="s">
        <v>500</v>
      </c>
      <c r="B12" s="523" t="s">
        <v>501</v>
      </c>
      <c r="C12" s="91" t="s">
        <v>251</v>
      </c>
      <c r="D12" s="194">
        <v>58355000</v>
      </c>
      <c r="E12" s="699"/>
    </row>
    <row r="13" spans="1:6" ht="20.399999999999999" x14ac:dyDescent="0.3">
      <c r="A13" s="522" t="s">
        <v>502</v>
      </c>
      <c r="B13" s="523" t="s">
        <v>503</v>
      </c>
      <c r="C13" s="91" t="s">
        <v>251</v>
      </c>
      <c r="D13" s="194">
        <v>139100000</v>
      </c>
      <c r="E13" s="376" t="s">
        <v>496</v>
      </c>
    </row>
    <row r="14" spans="1:6" x14ac:dyDescent="0.3">
      <c r="A14" s="518" t="s">
        <v>390</v>
      </c>
      <c r="B14" s="519" t="s">
        <v>323</v>
      </c>
      <c r="C14" s="187" t="s">
        <v>251</v>
      </c>
      <c r="D14" s="152">
        <v>24325000</v>
      </c>
      <c r="E14" s="187"/>
    </row>
    <row r="15" spans="1:6" x14ac:dyDescent="0.3">
      <c r="A15" s="518" t="s">
        <v>242</v>
      </c>
      <c r="B15" s="519" t="s">
        <v>392</v>
      </c>
      <c r="C15" s="187" t="s">
        <v>251</v>
      </c>
      <c r="D15" s="152">
        <v>200000000</v>
      </c>
      <c r="E15" s="187"/>
    </row>
    <row r="16" spans="1:6" x14ac:dyDescent="0.3">
      <c r="A16" s="518" t="s">
        <v>256</v>
      </c>
      <c r="B16" s="524" t="s">
        <v>393</v>
      </c>
      <c r="C16" s="187" t="s">
        <v>251</v>
      </c>
      <c r="D16" s="525">
        <v>0</v>
      </c>
      <c r="E16" s="361"/>
    </row>
    <row r="17" spans="1:5" s="221" customFormat="1" x14ac:dyDescent="0.3">
      <c r="A17" s="518" t="s">
        <v>280</v>
      </c>
      <c r="B17" s="524" t="s">
        <v>394</v>
      </c>
      <c r="C17" s="187" t="s">
        <v>251</v>
      </c>
      <c r="D17" s="525">
        <v>0</v>
      </c>
      <c r="E17" s="361"/>
    </row>
    <row r="18" spans="1:5" x14ac:dyDescent="0.3">
      <c r="A18" s="518" t="s">
        <v>306</v>
      </c>
      <c r="B18" s="524" t="s">
        <v>416</v>
      </c>
      <c r="C18" s="187" t="s">
        <v>251</v>
      </c>
      <c r="D18" s="525">
        <v>0</v>
      </c>
      <c r="E18" s="361"/>
    </row>
    <row r="19" spans="1:5" x14ac:dyDescent="0.3">
      <c r="A19" s="526" t="s">
        <v>307</v>
      </c>
      <c r="B19" s="527" t="s">
        <v>417</v>
      </c>
      <c r="C19" s="187" t="s">
        <v>251</v>
      </c>
      <c r="D19" s="525">
        <v>0</v>
      </c>
      <c r="E19" s="361"/>
    </row>
    <row r="20" spans="1:5" x14ac:dyDescent="0.3">
      <c r="A20" s="518" t="s">
        <v>395</v>
      </c>
      <c r="B20" s="519" t="s">
        <v>504</v>
      </c>
      <c r="C20" s="187" t="s">
        <v>251</v>
      </c>
      <c r="D20" s="152">
        <v>7974000</v>
      </c>
      <c r="E20" s="187"/>
    </row>
    <row r="21" spans="1:5" x14ac:dyDescent="0.3">
      <c r="A21" s="518" t="s">
        <v>308</v>
      </c>
      <c r="B21" s="528" t="s">
        <v>505</v>
      </c>
      <c r="C21" s="187" t="s">
        <v>251</v>
      </c>
      <c r="D21" s="194">
        <v>45001000</v>
      </c>
      <c r="E21" s="376" t="s">
        <v>496</v>
      </c>
    </row>
    <row r="22" spans="1:5" x14ac:dyDescent="0.3">
      <c r="A22" s="518" t="s">
        <v>309</v>
      </c>
      <c r="B22" s="529" t="s">
        <v>506</v>
      </c>
      <c r="C22" s="187" t="s">
        <v>251</v>
      </c>
      <c r="D22" s="152">
        <v>13241000</v>
      </c>
      <c r="E22" s="187"/>
    </row>
    <row r="23" spans="1:5" x14ac:dyDescent="0.3">
      <c r="A23" s="518" t="s">
        <v>507</v>
      </c>
      <c r="B23" s="529" t="s">
        <v>508</v>
      </c>
      <c r="C23" s="187" t="s">
        <v>251</v>
      </c>
      <c r="D23" s="152">
        <v>7000000</v>
      </c>
      <c r="E23" s="187"/>
    </row>
    <row r="24" spans="1:5" x14ac:dyDescent="0.3">
      <c r="A24" s="520" t="s">
        <v>509</v>
      </c>
      <c r="B24" s="519" t="s">
        <v>391</v>
      </c>
      <c r="C24" s="187" t="s">
        <v>251</v>
      </c>
      <c r="D24" s="152">
        <v>125000000</v>
      </c>
      <c r="E24" s="187"/>
    </row>
    <row r="25" spans="1:5" x14ac:dyDescent="0.3">
      <c r="A25" s="518" t="s">
        <v>510</v>
      </c>
      <c r="B25" s="530" t="s">
        <v>419</v>
      </c>
      <c r="C25" s="187" t="s">
        <v>251</v>
      </c>
      <c r="D25" s="152">
        <v>10160000</v>
      </c>
      <c r="E25" s="187"/>
    </row>
    <row r="26" spans="1:5" x14ac:dyDescent="0.3">
      <c r="A26" s="518" t="s">
        <v>511</v>
      </c>
      <c r="B26" s="519" t="s">
        <v>512</v>
      </c>
      <c r="C26" s="187" t="s">
        <v>513</v>
      </c>
      <c r="D26" s="152">
        <v>8621350</v>
      </c>
      <c r="E26" s="187"/>
    </row>
    <row r="27" spans="1:5" x14ac:dyDescent="0.3">
      <c r="A27" s="91"/>
      <c r="B27" s="91" t="s">
        <v>220</v>
      </c>
      <c r="C27" s="91"/>
      <c r="D27" s="93">
        <f>SUM(D5:D26)</f>
        <v>996276350</v>
      </c>
      <c r="E27" s="91"/>
    </row>
    <row r="28" spans="1:5" x14ac:dyDescent="0.3">
      <c r="A28" s="531"/>
      <c r="B28" s="531"/>
      <c r="C28" s="531"/>
      <c r="D28" s="531"/>
      <c r="E28" s="531"/>
    </row>
    <row r="29" spans="1:5" x14ac:dyDescent="0.3">
      <c r="A29" s="531"/>
      <c r="B29" s="532" t="s">
        <v>514</v>
      </c>
      <c r="C29" s="531"/>
      <c r="D29" s="531"/>
      <c r="E29" s="531"/>
    </row>
    <row r="30" spans="1:5" x14ac:dyDescent="0.3">
      <c r="A30" s="191"/>
      <c r="B30" s="516" t="s">
        <v>32</v>
      </c>
      <c r="C30" s="516" t="s">
        <v>241</v>
      </c>
      <c r="D30" s="516" t="s">
        <v>383</v>
      </c>
      <c r="E30" s="517" t="s">
        <v>430</v>
      </c>
    </row>
    <row r="31" spans="1:5" x14ac:dyDescent="0.3">
      <c r="A31" s="520" t="s">
        <v>384</v>
      </c>
      <c r="B31" s="521" t="s">
        <v>385</v>
      </c>
      <c r="C31" s="91" t="s">
        <v>251</v>
      </c>
      <c r="D31" s="194">
        <v>138269000</v>
      </c>
      <c r="E31" s="376" t="s">
        <v>496</v>
      </c>
    </row>
    <row r="32" spans="1:5" x14ac:dyDescent="0.3">
      <c r="A32" s="520" t="s">
        <v>254</v>
      </c>
      <c r="B32" s="521" t="s">
        <v>386</v>
      </c>
      <c r="C32" s="91" t="s">
        <v>251</v>
      </c>
      <c r="D32" s="194">
        <v>27630000</v>
      </c>
      <c r="E32" s="376" t="s">
        <v>496</v>
      </c>
    </row>
    <row r="33" spans="1:5" ht="20.399999999999999" x14ac:dyDescent="0.3">
      <c r="A33" s="522" t="s">
        <v>502</v>
      </c>
      <c r="B33" s="523" t="s">
        <v>503</v>
      </c>
      <c r="C33" s="91" t="s">
        <v>251</v>
      </c>
      <c r="D33" s="194">
        <v>139100000</v>
      </c>
      <c r="E33" s="376" t="s">
        <v>496</v>
      </c>
    </row>
    <row r="34" spans="1:5" x14ac:dyDescent="0.3">
      <c r="A34" s="518" t="s">
        <v>308</v>
      </c>
      <c r="B34" s="528" t="s">
        <v>505</v>
      </c>
      <c r="C34" s="187" t="s">
        <v>251</v>
      </c>
      <c r="D34" s="194">
        <v>45001000</v>
      </c>
      <c r="E34" s="376" t="s">
        <v>496</v>
      </c>
    </row>
    <row r="35" spans="1:5" x14ac:dyDescent="0.3">
      <c r="A35" s="532"/>
      <c r="B35" s="532"/>
      <c r="C35" s="532"/>
      <c r="D35" s="533">
        <f>SUM(D31:D34)</f>
        <v>350000000</v>
      </c>
      <c r="E35" s="532"/>
    </row>
    <row r="44" spans="1:5" x14ac:dyDescent="0.3">
      <c r="B44" s="66"/>
      <c r="C44" s="66"/>
      <c r="D44" s="66"/>
    </row>
    <row r="45" spans="1:5" x14ac:dyDescent="0.3">
      <c r="A45" s="66"/>
    </row>
  </sheetData>
  <mergeCells count="1">
    <mergeCell ref="E11:E12"/>
  </mergeCells>
  <pageMargins left="0.7" right="0.7" top="0.75" bottom="0.75" header="0.3" footer="0.3"/>
  <pageSetup paperSize="9" scale="70" orientation="landscape" r:id="rId1"/>
  <colBreaks count="1" manualBreakCount="1">
    <brk id="6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0198-54D5-4420-B31B-C6A9B9E3A64F}">
  <sheetPr>
    <pageSetUpPr fitToPage="1"/>
  </sheetPr>
  <dimension ref="A1:J32"/>
  <sheetViews>
    <sheetView topLeftCell="A4" zoomScale="70" zoomScaleNormal="70" workbookViewId="0">
      <selection activeCell="J8" sqref="J8"/>
    </sheetView>
  </sheetViews>
  <sheetFormatPr defaultRowHeight="14.4" x14ac:dyDescent="0.3"/>
  <cols>
    <col min="2" max="2" width="23.88671875" customWidth="1"/>
    <col min="3" max="3" width="29.6640625" customWidth="1"/>
    <col min="4" max="4" width="36" customWidth="1"/>
    <col min="5" max="5" width="12.44140625" customWidth="1"/>
    <col min="7" max="7" width="33.33203125" customWidth="1"/>
    <col min="8" max="8" width="22.6640625" customWidth="1"/>
    <col min="9" max="9" width="29.6640625" customWidth="1"/>
    <col min="10" max="10" width="30.33203125" bestFit="1" customWidth="1"/>
  </cols>
  <sheetData>
    <row r="1" spans="1:10" x14ac:dyDescent="0.3">
      <c r="A1" s="66"/>
      <c r="B1" s="66"/>
      <c r="C1" s="220" t="s">
        <v>428</v>
      </c>
      <c r="D1" s="203" t="s">
        <v>418</v>
      </c>
      <c r="H1" s="220" t="s">
        <v>429</v>
      </c>
      <c r="I1" s="203" t="s">
        <v>418</v>
      </c>
    </row>
    <row r="2" spans="1:10" x14ac:dyDescent="0.3">
      <c r="A2" s="191"/>
      <c r="B2" s="379" t="s">
        <v>32</v>
      </c>
      <c r="C2" s="379" t="s">
        <v>241</v>
      </c>
      <c r="D2" s="379" t="s">
        <v>383</v>
      </c>
      <c r="F2" s="191"/>
      <c r="G2" s="379" t="s">
        <v>32</v>
      </c>
      <c r="H2" s="379" t="s">
        <v>241</v>
      </c>
      <c r="I2" s="379" t="s">
        <v>383</v>
      </c>
      <c r="J2" s="398" t="s">
        <v>430</v>
      </c>
    </row>
    <row r="3" spans="1:10" ht="28.8" x14ac:dyDescent="0.3">
      <c r="A3" s="48" t="s">
        <v>253</v>
      </c>
      <c r="B3" s="383" t="s">
        <v>317</v>
      </c>
      <c r="C3" s="383" t="s">
        <v>251</v>
      </c>
      <c r="D3" s="386">
        <v>25000000</v>
      </c>
      <c r="F3" s="48" t="s">
        <v>253</v>
      </c>
      <c r="G3" s="383" t="s">
        <v>317</v>
      </c>
      <c r="H3" s="383" t="s">
        <v>251</v>
      </c>
      <c r="I3" s="386">
        <v>25000000</v>
      </c>
      <c r="J3" s="1"/>
    </row>
    <row r="4" spans="1:10" ht="28.8" x14ac:dyDescent="0.3">
      <c r="A4" s="48" t="s">
        <v>384</v>
      </c>
      <c r="B4" s="384" t="s">
        <v>385</v>
      </c>
      <c r="C4" s="383" t="s">
        <v>251</v>
      </c>
      <c r="D4" s="396">
        <v>125000000</v>
      </c>
      <c r="F4" s="48" t="s">
        <v>384</v>
      </c>
      <c r="G4" s="384" t="s">
        <v>385</v>
      </c>
      <c r="H4" s="383" t="s">
        <v>251</v>
      </c>
      <c r="I4" s="396">
        <v>144000000</v>
      </c>
      <c r="J4" s="403" t="s">
        <v>432</v>
      </c>
    </row>
    <row r="5" spans="1:10" ht="28.8" x14ac:dyDescent="0.3">
      <c r="A5" s="48" t="s">
        <v>254</v>
      </c>
      <c r="B5" s="384" t="s">
        <v>386</v>
      </c>
      <c r="C5" s="383" t="s">
        <v>251</v>
      </c>
      <c r="D5" s="396">
        <v>80000000</v>
      </c>
      <c r="F5" s="48" t="s">
        <v>254</v>
      </c>
      <c r="G5" s="384" t="s">
        <v>386</v>
      </c>
      <c r="H5" s="383" t="s">
        <v>251</v>
      </c>
      <c r="I5" s="396">
        <v>15244000</v>
      </c>
      <c r="J5" s="403" t="s">
        <v>432</v>
      </c>
    </row>
    <row r="6" spans="1:10" ht="28.8" x14ac:dyDescent="0.3">
      <c r="A6" s="48" t="s">
        <v>235</v>
      </c>
      <c r="B6" s="384" t="s">
        <v>387</v>
      </c>
      <c r="C6" s="383" t="s">
        <v>251</v>
      </c>
      <c r="D6" s="386">
        <v>238710000</v>
      </c>
      <c r="F6" s="48" t="s">
        <v>235</v>
      </c>
      <c r="G6" s="384" t="s">
        <v>387</v>
      </c>
      <c r="H6" s="383" t="s">
        <v>251</v>
      </c>
      <c r="I6" s="386">
        <v>238710000</v>
      </c>
      <c r="J6" s="1"/>
    </row>
    <row r="7" spans="1:10" ht="57.6" x14ac:dyDescent="0.3">
      <c r="A7" s="48" t="s">
        <v>388</v>
      </c>
      <c r="B7" s="383" t="s">
        <v>319</v>
      </c>
      <c r="C7" s="383" t="s">
        <v>251</v>
      </c>
      <c r="D7" s="386">
        <v>60000000</v>
      </c>
      <c r="F7" s="48" t="s">
        <v>388</v>
      </c>
      <c r="G7" s="383" t="s">
        <v>319</v>
      </c>
      <c r="H7" s="383" t="s">
        <v>251</v>
      </c>
      <c r="I7" s="386">
        <v>60000000</v>
      </c>
      <c r="J7" s="1"/>
    </row>
    <row r="8" spans="1:10" ht="28.8" x14ac:dyDescent="0.3">
      <c r="A8" s="48" t="s">
        <v>236</v>
      </c>
      <c r="B8" s="384" t="s">
        <v>389</v>
      </c>
      <c r="C8" s="383" t="s">
        <v>251</v>
      </c>
      <c r="D8" s="386">
        <v>60756000</v>
      </c>
      <c r="F8" s="48" t="s">
        <v>236</v>
      </c>
      <c r="G8" s="384" t="s">
        <v>389</v>
      </c>
      <c r="H8" s="383" t="s">
        <v>251</v>
      </c>
      <c r="I8" s="386">
        <v>60756000</v>
      </c>
      <c r="J8" s="207" t="s">
        <v>432</v>
      </c>
    </row>
    <row r="9" spans="1:10" ht="28.8" x14ac:dyDescent="0.3">
      <c r="A9" s="48" t="s">
        <v>255</v>
      </c>
      <c r="B9" s="385" t="s">
        <v>320</v>
      </c>
      <c r="C9" s="383" t="s">
        <v>251</v>
      </c>
      <c r="D9" s="386">
        <v>452758000</v>
      </c>
      <c r="F9" s="48" t="s">
        <v>255</v>
      </c>
      <c r="G9" s="385" t="s">
        <v>320</v>
      </c>
      <c r="H9" s="383" t="s">
        <v>251</v>
      </c>
      <c r="I9" s="386">
        <v>452758000</v>
      </c>
      <c r="J9" s="1"/>
    </row>
    <row r="10" spans="1:10" ht="28.8" x14ac:dyDescent="0.3">
      <c r="A10" s="48" t="s">
        <v>390</v>
      </c>
      <c r="B10" s="391" t="s">
        <v>391</v>
      </c>
      <c r="C10" s="383" t="s">
        <v>251</v>
      </c>
      <c r="D10" s="386">
        <v>125000000</v>
      </c>
      <c r="F10" s="48" t="s">
        <v>390</v>
      </c>
      <c r="G10" s="391" t="s">
        <v>391</v>
      </c>
      <c r="H10" s="383" t="s">
        <v>251</v>
      </c>
      <c r="I10" s="386">
        <v>125000000</v>
      </c>
      <c r="J10" s="1"/>
    </row>
    <row r="11" spans="1:10" ht="28.8" x14ac:dyDescent="0.3">
      <c r="A11" s="48" t="s">
        <v>242</v>
      </c>
      <c r="B11" s="391" t="s">
        <v>323</v>
      </c>
      <c r="C11" s="383" t="s">
        <v>251</v>
      </c>
      <c r="D11" s="386">
        <v>2360000</v>
      </c>
      <c r="F11" s="48" t="s">
        <v>242</v>
      </c>
      <c r="G11" s="391" t="s">
        <v>323</v>
      </c>
      <c r="H11" s="383" t="s">
        <v>251</v>
      </c>
      <c r="I11" s="386">
        <v>2360000</v>
      </c>
      <c r="J11" s="1"/>
    </row>
    <row r="12" spans="1:10" ht="28.8" x14ac:dyDescent="0.3">
      <c r="A12" s="48" t="s">
        <v>256</v>
      </c>
      <c r="B12" s="392" t="s">
        <v>392</v>
      </c>
      <c r="C12" s="383" t="s">
        <v>251</v>
      </c>
      <c r="D12" s="386">
        <v>200000000</v>
      </c>
      <c r="F12" s="48" t="s">
        <v>256</v>
      </c>
      <c r="G12" s="392" t="s">
        <v>392</v>
      </c>
      <c r="H12" s="383" t="s">
        <v>251</v>
      </c>
      <c r="I12" s="386">
        <v>200000000</v>
      </c>
      <c r="J12" s="1"/>
    </row>
    <row r="13" spans="1:10" ht="28.8" x14ac:dyDescent="0.3">
      <c r="A13" s="48" t="s">
        <v>280</v>
      </c>
      <c r="B13" s="383" t="s">
        <v>393</v>
      </c>
      <c r="C13" s="383" t="s">
        <v>251</v>
      </c>
      <c r="D13" s="397">
        <v>30000000</v>
      </c>
      <c r="F13" s="48" t="s">
        <v>280</v>
      </c>
      <c r="G13" s="383" t="s">
        <v>393</v>
      </c>
      <c r="H13" s="383" t="s">
        <v>251</v>
      </c>
      <c r="I13" s="386">
        <v>0</v>
      </c>
      <c r="J13" s="1" t="s">
        <v>434</v>
      </c>
    </row>
    <row r="14" spans="1:10" ht="28.8" x14ac:dyDescent="0.3">
      <c r="A14" s="48" t="s">
        <v>306</v>
      </c>
      <c r="B14" s="385" t="s">
        <v>394</v>
      </c>
      <c r="C14" s="383" t="s">
        <v>251</v>
      </c>
      <c r="D14" s="397">
        <v>25000000</v>
      </c>
      <c r="F14" s="48" t="s">
        <v>306</v>
      </c>
      <c r="G14" s="385" t="s">
        <v>394</v>
      </c>
      <c r="H14" s="383" t="s">
        <v>251</v>
      </c>
      <c r="I14" s="386">
        <v>0</v>
      </c>
      <c r="J14" s="1" t="s">
        <v>434</v>
      </c>
    </row>
    <row r="15" spans="1:10" ht="28.8" x14ac:dyDescent="0.3">
      <c r="A15" s="48" t="s">
        <v>307</v>
      </c>
      <c r="B15" s="384" t="s">
        <v>416</v>
      </c>
      <c r="C15" s="383" t="s">
        <v>251</v>
      </c>
      <c r="D15" s="386">
        <v>124244000</v>
      </c>
      <c r="F15" s="48" t="s">
        <v>307</v>
      </c>
      <c r="G15" s="384" t="s">
        <v>416</v>
      </c>
      <c r="H15" s="383" t="s">
        <v>251</v>
      </c>
      <c r="I15" s="386">
        <v>0</v>
      </c>
      <c r="J15" s="1" t="s">
        <v>435</v>
      </c>
    </row>
    <row r="16" spans="1:10" ht="28.8" x14ac:dyDescent="0.3">
      <c r="A16" s="48" t="s">
        <v>395</v>
      </c>
      <c r="B16" s="1" t="s">
        <v>417</v>
      </c>
      <c r="C16" s="383" t="s">
        <v>251</v>
      </c>
      <c r="D16" s="397">
        <v>15000000</v>
      </c>
      <c r="F16" s="48" t="s">
        <v>395</v>
      </c>
      <c r="G16" s="1" t="s">
        <v>417</v>
      </c>
      <c r="H16" s="383" t="s">
        <v>251</v>
      </c>
      <c r="I16" s="386">
        <v>0</v>
      </c>
      <c r="J16" s="1" t="s">
        <v>434</v>
      </c>
    </row>
    <row r="17" spans="1:10" ht="28.8" x14ac:dyDescent="0.3">
      <c r="A17" s="48" t="s">
        <v>308</v>
      </c>
      <c r="B17" s="1" t="s">
        <v>419</v>
      </c>
      <c r="C17" s="383" t="s">
        <v>251</v>
      </c>
      <c r="D17" s="396">
        <v>15000000</v>
      </c>
      <c r="F17" s="48" t="s">
        <v>308</v>
      </c>
      <c r="G17" s="1" t="s">
        <v>419</v>
      </c>
      <c r="H17" s="383" t="s">
        <v>251</v>
      </c>
      <c r="I17" s="386">
        <v>6000000</v>
      </c>
      <c r="J17" s="1"/>
    </row>
    <row r="18" spans="1:10" ht="28.8" x14ac:dyDescent="0.3">
      <c r="A18" s="48" t="s">
        <v>309</v>
      </c>
      <c r="B18" s="384" t="s">
        <v>396</v>
      </c>
      <c r="C18" s="383" t="s">
        <v>289</v>
      </c>
      <c r="D18" s="386">
        <v>6350000</v>
      </c>
      <c r="F18" s="48" t="s">
        <v>309</v>
      </c>
      <c r="G18" s="384" t="s">
        <v>396</v>
      </c>
      <c r="H18" s="383" t="s">
        <v>289</v>
      </c>
      <c r="I18" s="386">
        <v>6350000</v>
      </c>
      <c r="J18" s="1"/>
    </row>
    <row r="19" spans="1:10" x14ac:dyDescent="0.3">
      <c r="A19" s="48"/>
      <c r="B19" s="1"/>
      <c r="C19" s="1"/>
      <c r="D19" s="1"/>
      <c r="F19" s="48"/>
      <c r="G19" s="1" t="s">
        <v>431</v>
      </c>
      <c r="H19" s="1"/>
      <c r="I19" s="386">
        <v>130000000</v>
      </c>
      <c r="J19" s="207" t="s">
        <v>432</v>
      </c>
    </row>
    <row r="20" spans="1:10" x14ac:dyDescent="0.3">
      <c r="A20" s="48"/>
      <c r="B20" s="384"/>
      <c r="C20" s="383"/>
      <c r="D20" s="383">
        <v>0</v>
      </c>
      <c r="F20" s="48"/>
      <c r="G20" s="384"/>
      <c r="H20" s="383"/>
      <c r="I20" s="383">
        <v>0</v>
      </c>
      <c r="J20" s="1"/>
    </row>
    <row r="21" spans="1:10" x14ac:dyDescent="0.3">
      <c r="A21" s="48"/>
      <c r="B21" s="382"/>
      <c r="C21" s="380"/>
      <c r="D21" s="383">
        <v>0</v>
      </c>
      <c r="F21" s="48"/>
      <c r="G21" s="382"/>
      <c r="H21" s="380"/>
      <c r="I21" s="383">
        <v>0</v>
      </c>
      <c r="J21" s="1"/>
    </row>
    <row r="22" spans="1:10" x14ac:dyDescent="0.3">
      <c r="A22" s="186"/>
      <c r="B22" s="381" t="s">
        <v>220</v>
      </c>
      <c r="C22" s="207"/>
      <c r="D22" s="288">
        <f>SUM(D3:D21)</f>
        <v>1585178000</v>
      </c>
      <c r="E22" s="17">
        <f>+D22-I22</f>
        <v>119000000</v>
      </c>
      <c r="F22" s="186"/>
      <c r="G22" s="381" t="s">
        <v>220</v>
      </c>
      <c r="H22" s="207"/>
      <c r="I22" s="288">
        <f>SUM(I3:I21)</f>
        <v>1466178000</v>
      </c>
      <c r="J22" s="1"/>
    </row>
    <row r="23" spans="1:10" x14ac:dyDescent="0.3">
      <c r="A23" s="221"/>
      <c r="B23" s="221"/>
      <c r="C23" s="221"/>
      <c r="D23" s="221"/>
    </row>
    <row r="24" spans="1:10" x14ac:dyDescent="0.3">
      <c r="G24" t="s">
        <v>430</v>
      </c>
      <c r="H24" s="700" t="s">
        <v>433</v>
      </c>
      <c r="I24" s="700"/>
      <c r="J24" s="700"/>
    </row>
    <row r="25" spans="1:10" x14ac:dyDescent="0.3">
      <c r="B25" s="401" t="s">
        <v>421</v>
      </c>
      <c r="C25" s="401" t="s">
        <v>424</v>
      </c>
      <c r="D25" s="401" t="s">
        <v>423</v>
      </c>
      <c r="H25" s="700"/>
      <c r="I25" s="700"/>
      <c r="J25" s="700"/>
    </row>
    <row r="26" spans="1:10" x14ac:dyDescent="0.3">
      <c r="B26" s="402" t="s">
        <v>422</v>
      </c>
      <c r="C26" s="399">
        <v>27289000</v>
      </c>
      <c r="D26" s="400">
        <v>50000000</v>
      </c>
    </row>
    <row r="27" spans="1:10" x14ac:dyDescent="0.3">
      <c r="B27" s="220" t="s">
        <v>425</v>
      </c>
      <c r="C27" s="401" t="s">
        <v>424</v>
      </c>
      <c r="D27" s="401" t="s">
        <v>423</v>
      </c>
    </row>
    <row r="28" spans="1:10" x14ac:dyDescent="0.3">
      <c r="B28" s="402" t="s">
        <v>426</v>
      </c>
      <c r="C28" s="399">
        <v>261000000</v>
      </c>
      <c r="D28" s="399">
        <v>261000000</v>
      </c>
    </row>
    <row r="29" spans="1:10" x14ac:dyDescent="0.3">
      <c r="B29" s="402" t="s">
        <v>427</v>
      </c>
      <c r="C29" s="399">
        <v>30000000</v>
      </c>
      <c r="D29" s="399">
        <v>30000000</v>
      </c>
    </row>
    <row r="30" spans="1:10" x14ac:dyDescent="0.3">
      <c r="C30" s="399"/>
      <c r="D30" s="399"/>
    </row>
    <row r="31" spans="1:10" x14ac:dyDescent="0.3">
      <c r="C31" s="399"/>
      <c r="D31" s="399">
        <v>0</v>
      </c>
    </row>
    <row r="32" spans="1:10" x14ac:dyDescent="0.3">
      <c r="C32" s="399"/>
      <c r="D32" s="399"/>
    </row>
  </sheetData>
  <mergeCells count="1">
    <mergeCell ref="H24:J25"/>
  </mergeCells>
  <pageMargins left="0.7" right="0.7" top="0.75" bottom="0.75" header="0.3" footer="0.3"/>
  <pageSetup paperSize="8" scale="8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D173"/>
  <sheetViews>
    <sheetView view="pageBreakPreview" topLeftCell="K1" zoomScale="90" zoomScaleNormal="115" zoomScaleSheetLayoutView="90" workbookViewId="0">
      <selection activeCell="X6" sqref="X6"/>
    </sheetView>
  </sheetViews>
  <sheetFormatPr defaultRowHeight="14.4" x14ac:dyDescent="0.3"/>
  <cols>
    <col min="1" max="1" width="3.6640625" customWidth="1"/>
    <col min="2" max="2" width="34.6640625" customWidth="1"/>
    <col min="3" max="3" width="14.6640625" customWidth="1"/>
    <col min="4" max="4" width="14.33203125" customWidth="1"/>
    <col min="5" max="5" width="14.33203125" style="221" customWidth="1"/>
    <col min="6" max="6" width="11.33203125" customWidth="1"/>
    <col min="7" max="7" width="19" customWidth="1"/>
    <col min="8" max="8" width="12.44140625" customWidth="1"/>
    <col min="9" max="9" width="10.5546875" customWidth="1"/>
    <col min="10" max="10" width="17.33203125" customWidth="1"/>
    <col min="11" max="11" width="10.33203125" customWidth="1"/>
    <col min="12" max="12" width="10.5546875" customWidth="1"/>
    <col min="13" max="13" width="16.6640625" customWidth="1"/>
    <col min="14" max="14" width="10.33203125" customWidth="1"/>
    <col min="15" max="15" width="10.5546875" customWidth="1"/>
    <col min="16" max="16" width="11.6640625" customWidth="1"/>
    <col min="17" max="17" width="12.33203125" customWidth="1"/>
    <col min="18" max="18" width="10.33203125" customWidth="1"/>
    <col min="19" max="19" width="10.5546875" customWidth="1"/>
    <col min="20" max="20" width="10" customWidth="1"/>
    <col min="22" max="22" width="10.33203125" customWidth="1"/>
    <col min="23" max="23" width="15.6640625" customWidth="1"/>
    <col min="24" max="24" width="10.33203125" customWidth="1"/>
    <col min="25" max="25" width="10.5546875" customWidth="1"/>
    <col min="26" max="26" width="10" customWidth="1"/>
    <col min="27" max="27" width="10.33203125" customWidth="1"/>
  </cols>
  <sheetData>
    <row r="1" spans="1:30" ht="15" customHeight="1" x14ac:dyDescent="0.3">
      <c r="A1" s="644" t="s">
        <v>303</v>
      </c>
      <c r="B1" s="644"/>
      <c r="C1" s="644"/>
      <c r="D1" s="644"/>
      <c r="E1" s="644"/>
      <c r="F1" s="644"/>
      <c r="G1" s="644"/>
      <c r="H1" s="223"/>
      <c r="I1" s="213"/>
      <c r="J1" s="222"/>
      <c r="K1" s="223"/>
      <c r="L1" s="213"/>
      <c r="M1" s="222"/>
      <c r="N1" s="223"/>
      <c r="O1" s="213"/>
      <c r="P1" s="222"/>
      <c r="Q1" s="222"/>
      <c r="R1" s="223"/>
      <c r="S1" s="213"/>
      <c r="T1" s="222"/>
      <c r="U1" s="222"/>
      <c r="V1" s="223"/>
      <c r="W1" s="213"/>
      <c r="X1" s="643" t="s">
        <v>357</v>
      </c>
      <c r="Y1" s="643"/>
      <c r="Z1" s="643"/>
      <c r="AA1" s="643"/>
    </row>
    <row r="2" spans="1:30" x14ac:dyDescent="0.3">
      <c r="A2" s="644"/>
      <c r="B2" s="644"/>
      <c r="C2" s="644"/>
      <c r="D2" s="644"/>
      <c r="E2" s="644"/>
      <c r="F2" s="644"/>
      <c r="G2" s="644"/>
      <c r="H2" s="223"/>
      <c r="I2" s="211"/>
      <c r="J2" s="223"/>
      <c r="K2" s="223"/>
      <c r="L2" s="211"/>
      <c r="M2" s="223"/>
      <c r="N2" s="223"/>
      <c r="O2" s="211"/>
      <c r="P2" s="223"/>
      <c r="Q2" s="223"/>
      <c r="R2" s="223"/>
      <c r="S2" s="211"/>
      <c r="T2" s="223"/>
      <c r="U2" s="223"/>
      <c r="V2" s="223"/>
      <c r="W2" s="211"/>
      <c r="X2" s="643"/>
      <c r="Y2" s="643"/>
      <c r="Z2" s="643"/>
      <c r="AA2" s="643"/>
    </row>
    <row r="3" spans="1:30" x14ac:dyDescent="0.3">
      <c r="A3" s="210"/>
      <c r="B3" s="211"/>
      <c r="C3" s="211"/>
      <c r="D3" s="104"/>
      <c r="E3" s="104"/>
      <c r="G3" s="211"/>
      <c r="H3" s="212"/>
      <c r="I3" s="211"/>
      <c r="J3" s="212"/>
      <c r="K3" s="212"/>
      <c r="L3" s="211"/>
      <c r="M3" s="212"/>
      <c r="N3" s="212"/>
      <c r="O3" s="211"/>
      <c r="P3" s="212"/>
      <c r="Q3" s="212"/>
      <c r="R3" s="212"/>
      <c r="S3" s="211"/>
      <c r="T3" s="212"/>
      <c r="U3" s="212"/>
      <c r="V3" s="212"/>
      <c r="W3" s="211"/>
      <c r="X3" s="212"/>
      <c r="Y3" s="211"/>
      <c r="Z3" s="212"/>
      <c r="AA3" s="212"/>
    </row>
    <row r="4" spans="1:30" ht="15" thickBot="1" x14ac:dyDescent="0.35">
      <c r="A4" s="210"/>
      <c r="B4" s="211"/>
      <c r="C4" s="211"/>
      <c r="D4" s="104"/>
      <c r="E4" s="104"/>
      <c r="G4" s="211"/>
      <c r="H4" s="224"/>
      <c r="I4" s="211"/>
      <c r="J4" s="212"/>
      <c r="K4" s="212"/>
      <c r="L4" s="211"/>
      <c r="M4" s="212"/>
      <c r="N4" s="212"/>
      <c r="O4" s="211"/>
      <c r="P4" s="212"/>
      <c r="Q4" s="212"/>
      <c r="R4" s="212"/>
      <c r="S4" s="211"/>
      <c r="T4" s="212"/>
      <c r="U4" s="212"/>
      <c r="V4" s="212"/>
      <c r="W4" s="211"/>
      <c r="X4" s="212"/>
      <c r="Y4" s="211"/>
      <c r="AA4" s="212"/>
      <c r="AC4" s="64" t="s">
        <v>418</v>
      </c>
    </row>
    <row r="5" spans="1:30" s="248" customFormat="1" ht="33.75" customHeight="1" thickBot="1" x14ac:dyDescent="0.35">
      <c r="A5" s="250"/>
      <c r="B5" s="251" t="s">
        <v>43</v>
      </c>
      <c r="C5" s="701" t="s">
        <v>251</v>
      </c>
      <c r="D5" s="702"/>
      <c r="E5" s="710"/>
      <c r="F5" s="703"/>
      <c r="G5" s="711" t="s">
        <v>289</v>
      </c>
      <c r="H5" s="712"/>
      <c r="I5" s="701" t="s">
        <v>290</v>
      </c>
      <c r="J5" s="702"/>
      <c r="K5" s="703"/>
      <c r="L5" s="701" t="s">
        <v>291</v>
      </c>
      <c r="M5" s="702"/>
      <c r="N5" s="703"/>
      <c r="O5" s="701" t="s">
        <v>292</v>
      </c>
      <c r="P5" s="702"/>
      <c r="Q5" s="702"/>
      <c r="R5" s="703"/>
      <c r="S5" s="701" t="s">
        <v>293</v>
      </c>
      <c r="T5" s="702"/>
      <c r="U5" s="702"/>
      <c r="V5" s="703"/>
      <c r="W5" s="701" t="s">
        <v>133</v>
      </c>
      <c r="X5" s="703"/>
      <c r="Y5" s="701" t="s">
        <v>44</v>
      </c>
      <c r="Z5" s="702"/>
      <c r="AA5" s="703"/>
      <c r="AB5" s="701" t="s">
        <v>328</v>
      </c>
      <c r="AC5" s="702"/>
      <c r="AD5" s="703"/>
    </row>
    <row r="6" spans="1:30" s="220" customFormat="1" ht="61.8" thickBot="1" x14ac:dyDescent="0.35">
      <c r="A6" s="250" t="s">
        <v>127</v>
      </c>
      <c r="B6" s="259" t="s">
        <v>32</v>
      </c>
      <c r="C6" s="260" t="s">
        <v>302</v>
      </c>
      <c r="D6" s="261" t="s">
        <v>296</v>
      </c>
      <c r="E6" s="261" t="s">
        <v>413</v>
      </c>
      <c r="F6" s="262" t="s">
        <v>216</v>
      </c>
      <c r="G6" s="321" t="s">
        <v>302</v>
      </c>
      <c r="H6" s="280" t="s">
        <v>220</v>
      </c>
      <c r="I6" s="260" t="s">
        <v>297</v>
      </c>
      <c r="J6" s="261" t="s">
        <v>298</v>
      </c>
      <c r="K6" s="263" t="s">
        <v>220</v>
      </c>
      <c r="L6" s="260" t="s">
        <v>297</v>
      </c>
      <c r="M6" s="261" t="s">
        <v>298</v>
      </c>
      <c r="N6" s="264" t="s">
        <v>220</v>
      </c>
      <c r="O6" s="260" t="s">
        <v>294</v>
      </c>
      <c r="P6" s="261" t="s">
        <v>295</v>
      </c>
      <c r="Q6" s="261" t="s">
        <v>296</v>
      </c>
      <c r="R6" s="264" t="s">
        <v>220</v>
      </c>
      <c r="S6" s="260" t="s">
        <v>294</v>
      </c>
      <c r="T6" s="261" t="s">
        <v>295</v>
      </c>
      <c r="U6" s="261" t="s">
        <v>296</v>
      </c>
      <c r="V6" s="264" t="s">
        <v>220</v>
      </c>
      <c r="W6" s="260" t="s">
        <v>301</v>
      </c>
      <c r="X6" s="264" t="s">
        <v>220</v>
      </c>
      <c r="Y6" s="260" t="s">
        <v>299</v>
      </c>
      <c r="Z6" s="261" t="s">
        <v>300</v>
      </c>
      <c r="AA6" s="263" t="s">
        <v>220</v>
      </c>
      <c r="AB6" s="261" t="s">
        <v>329</v>
      </c>
      <c r="AC6" s="261" t="s">
        <v>330</v>
      </c>
      <c r="AD6" s="282" t="s">
        <v>220</v>
      </c>
    </row>
    <row r="7" spans="1:30" x14ac:dyDescent="0.3">
      <c r="A7" s="252" t="s">
        <v>12</v>
      </c>
      <c r="B7" s="253" t="s">
        <v>185</v>
      </c>
      <c r="C7" s="254">
        <v>811554</v>
      </c>
      <c r="D7" s="255"/>
      <c r="E7" s="388"/>
      <c r="F7" s="320">
        <f>SUM(C7:E7)</f>
        <v>811554</v>
      </c>
      <c r="G7" s="322">
        <v>0</v>
      </c>
      <c r="H7" s="323">
        <f t="shared" ref="H7:H24" si="0">SUM(G7:G7)</f>
        <v>0</v>
      </c>
      <c r="I7" s="256">
        <v>0</v>
      </c>
      <c r="J7" s="255">
        <v>0</v>
      </c>
      <c r="K7" s="257">
        <f>SUM(I7:J7)</f>
        <v>0</v>
      </c>
      <c r="L7" s="258">
        <v>0</v>
      </c>
      <c r="M7" s="255">
        <v>0</v>
      </c>
      <c r="N7" s="257">
        <f>SUM(L7:M7)</f>
        <v>0</v>
      </c>
      <c r="O7" s="258">
        <v>0</v>
      </c>
      <c r="P7" s="255">
        <v>0</v>
      </c>
      <c r="Q7" s="255">
        <v>0</v>
      </c>
      <c r="R7" s="257">
        <f>O7+P7+Q7</f>
        <v>0</v>
      </c>
      <c r="S7" s="258">
        <v>0</v>
      </c>
      <c r="T7" s="255">
        <v>0</v>
      </c>
      <c r="U7" s="255">
        <v>0</v>
      </c>
      <c r="V7" s="257">
        <f>S7+T7+U7</f>
        <v>0</v>
      </c>
      <c r="W7" s="258">
        <v>0</v>
      </c>
      <c r="X7" s="257">
        <f>SUM(W7)</f>
        <v>0</v>
      </c>
      <c r="Y7" s="258">
        <v>0</v>
      </c>
      <c r="Z7" s="255">
        <v>0</v>
      </c>
      <c r="AA7" s="257">
        <f>SUM(Y7:Z7)</f>
        <v>0</v>
      </c>
      <c r="AB7" s="258">
        <v>0</v>
      </c>
      <c r="AC7" s="255">
        <v>0</v>
      </c>
      <c r="AD7" s="257">
        <f>SUM(AB7:AC7)</f>
        <v>0</v>
      </c>
    </row>
    <row r="8" spans="1:30" x14ac:dyDescent="0.3">
      <c r="A8" s="239" t="s">
        <v>13</v>
      </c>
      <c r="B8" s="225" t="s">
        <v>184</v>
      </c>
      <c r="C8" s="228">
        <v>106327</v>
      </c>
      <c r="D8" s="182"/>
      <c r="E8" s="389">
        <v>14144</v>
      </c>
      <c r="F8" s="320">
        <f t="shared" ref="F8:F24" si="1">SUM(C8:E8)</f>
        <v>120471</v>
      </c>
      <c r="G8" s="233">
        <v>0</v>
      </c>
      <c r="H8" s="232">
        <f t="shared" si="0"/>
        <v>0</v>
      </c>
      <c r="I8" s="227">
        <v>0</v>
      </c>
      <c r="J8" s="182">
        <v>0</v>
      </c>
      <c r="K8" s="232">
        <f t="shared" ref="K8:K24" si="2">SUM(I8:J8)</f>
        <v>0</v>
      </c>
      <c r="L8" s="233">
        <v>0</v>
      </c>
      <c r="M8" s="182">
        <v>0</v>
      </c>
      <c r="N8" s="232">
        <f t="shared" ref="N8:N24" si="3">SUM(L8:M8)</f>
        <v>0</v>
      </c>
      <c r="O8" s="233">
        <v>0</v>
      </c>
      <c r="P8" s="182">
        <v>0</v>
      </c>
      <c r="Q8" s="182">
        <v>0</v>
      </c>
      <c r="R8" s="232">
        <f t="shared" ref="R8:R24" si="4">O8+P8+Q8</f>
        <v>0</v>
      </c>
      <c r="S8" s="233">
        <v>0</v>
      </c>
      <c r="T8" s="182">
        <v>0</v>
      </c>
      <c r="U8" s="182">
        <v>0</v>
      </c>
      <c r="V8" s="232">
        <f t="shared" ref="V8:V24" si="5">S8+T8+U8</f>
        <v>0</v>
      </c>
      <c r="W8" s="233">
        <v>4000</v>
      </c>
      <c r="X8" s="232">
        <f t="shared" ref="X8:X24" si="6">SUM(W8)</f>
        <v>4000</v>
      </c>
      <c r="Y8" s="233">
        <v>0</v>
      </c>
      <c r="Z8" s="182">
        <v>0</v>
      </c>
      <c r="AA8" s="232">
        <f t="shared" ref="AA8:AA24" si="7">SUM(Y8:Z8)</f>
        <v>0</v>
      </c>
      <c r="AB8" s="233">
        <v>0</v>
      </c>
      <c r="AC8" s="182">
        <v>0</v>
      </c>
      <c r="AD8" s="232">
        <f t="shared" ref="AD8:AD24" si="8">SUM(AB8:AC8)</f>
        <v>0</v>
      </c>
    </row>
    <row r="9" spans="1:30" x14ac:dyDescent="0.3">
      <c r="A9" s="239" t="s">
        <v>14</v>
      </c>
      <c r="B9" s="225" t="s">
        <v>126</v>
      </c>
      <c r="C9" s="228">
        <v>711000</v>
      </c>
      <c r="D9" s="182"/>
      <c r="E9" s="389"/>
      <c r="F9" s="320">
        <f t="shared" si="1"/>
        <v>711000</v>
      </c>
      <c r="G9" s="233">
        <v>0</v>
      </c>
      <c r="H9" s="232">
        <f t="shared" si="0"/>
        <v>0</v>
      </c>
      <c r="I9" s="227">
        <v>0</v>
      </c>
      <c r="J9" s="182">
        <v>0</v>
      </c>
      <c r="K9" s="232">
        <f t="shared" si="2"/>
        <v>0</v>
      </c>
      <c r="L9" s="233">
        <v>0</v>
      </c>
      <c r="M9" s="182">
        <v>0</v>
      </c>
      <c r="N9" s="232">
        <f t="shared" si="3"/>
        <v>0</v>
      </c>
      <c r="O9" s="233">
        <v>0</v>
      </c>
      <c r="P9" s="182">
        <v>0</v>
      </c>
      <c r="Q9" s="182">
        <v>0</v>
      </c>
      <c r="R9" s="232">
        <f t="shared" si="4"/>
        <v>0</v>
      </c>
      <c r="S9" s="233">
        <v>0</v>
      </c>
      <c r="T9" s="182">
        <v>0</v>
      </c>
      <c r="U9" s="182">
        <v>0</v>
      </c>
      <c r="V9" s="232">
        <f t="shared" si="5"/>
        <v>0</v>
      </c>
      <c r="W9" s="233">
        <v>0</v>
      </c>
      <c r="X9" s="232">
        <f t="shared" si="6"/>
        <v>0</v>
      </c>
      <c r="Y9" s="233">
        <v>0</v>
      </c>
      <c r="Z9" s="182">
        <v>0</v>
      </c>
      <c r="AA9" s="232">
        <f t="shared" si="7"/>
        <v>0</v>
      </c>
      <c r="AB9" s="233">
        <v>0</v>
      </c>
      <c r="AC9" s="182">
        <v>0</v>
      </c>
      <c r="AD9" s="232">
        <f t="shared" si="8"/>
        <v>0</v>
      </c>
    </row>
    <row r="10" spans="1:30" x14ac:dyDescent="0.3">
      <c r="A10" s="239" t="s">
        <v>15</v>
      </c>
      <c r="B10" s="225" t="s">
        <v>88</v>
      </c>
      <c r="C10" s="228">
        <v>1100000</v>
      </c>
      <c r="D10" s="182"/>
      <c r="E10" s="389"/>
      <c r="F10" s="320">
        <f t="shared" si="1"/>
        <v>1100000</v>
      </c>
      <c r="G10" s="233">
        <v>0</v>
      </c>
      <c r="H10" s="232">
        <f t="shared" si="0"/>
        <v>0</v>
      </c>
      <c r="I10" s="227">
        <v>0</v>
      </c>
      <c r="J10" s="182">
        <v>0</v>
      </c>
      <c r="K10" s="232">
        <f t="shared" si="2"/>
        <v>0</v>
      </c>
      <c r="L10" s="233">
        <v>0</v>
      </c>
      <c r="M10" s="182">
        <v>0</v>
      </c>
      <c r="N10" s="232">
        <f t="shared" si="3"/>
        <v>0</v>
      </c>
      <c r="O10" s="233">
        <v>0</v>
      </c>
      <c r="P10" s="182">
        <v>0</v>
      </c>
      <c r="Q10" s="182">
        <v>0</v>
      </c>
      <c r="R10" s="232">
        <f t="shared" si="4"/>
        <v>0</v>
      </c>
      <c r="S10" s="233">
        <v>0</v>
      </c>
      <c r="T10" s="182">
        <v>0</v>
      </c>
      <c r="U10" s="182">
        <v>0</v>
      </c>
      <c r="V10" s="232">
        <f t="shared" si="5"/>
        <v>0</v>
      </c>
      <c r="W10" s="233">
        <v>0</v>
      </c>
      <c r="X10" s="232">
        <f t="shared" si="6"/>
        <v>0</v>
      </c>
      <c r="Y10" s="233">
        <v>0</v>
      </c>
      <c r="Z10" s="182">
        <v>0</v>
      </c>
      <c r="AA10" s="232">
        <f t="shared" si="7"/>
        <v>0</v>
      </c>
      <c r="AB10" s="233">
        <v>0</v>
      </c>
      <c r="AC10" s="182">
        <v>0</v>
      </c>
      <c r="AD10" s="232">
        <f t="shared" si="8"/>
        <v>0</v>
      </c>
    </row>
    <row r="11" spans="1:30" x14ac:dyDescent="0.3">
      <c r="A11" s="239" t="s">
        <v>16</v>
      </c>
      <c r="B11" s="225" t="s">
        <v>182</v>
      </c>
      <c r="C11" s="228">
        <v>249382</v>
      </c>
      <c r="D11" s="182">
        <v>38100</v>
      </c>
      <c r="E11" s="389"/>
      <c r="F11" s="320">
        <f t="shared" si="1"/>
        <v>287482</v>
      </c>
      <c r="G11" s="233">
        <v>8334</v>
      </c>
      <c r="H11" s="232">
        <f t="shared" si="0"/>
        <v>8334</v>
      </c>
      <c r="I11" s="227">
        <v>0</v>
      </c>
      <c r="J11" s="182">
        <v>4250</v>
      </c>
      <c r="K11" s="232">
        <f t="shared" si="2"/>
        <v>4250</v>
      </c>
      <c r="L11" s="233">
        <v>5200</v>
      </c>
      <c r="M11" s="182">
        <v>2726</v>
      </c>
      <c r="N11" s="232">
        <f t="shared" si="3"/>
        <v>7926</v>
      </c>
      <c r="O11" s="233">
        <f>12795-12160</f>
        <v>635</v>
      </c>
      <c r="P11" s="182">
        <v>0</v>
      </c>
      <c r="Q11" s="182">
        <v>12580</v>
      </c>
      <c r="R11" s="232">
        <f t="shared" si="4"/>
        <v>13215</v>
      </c>
      <c r="S11" s="233">
        <v>0</v>
      </c>
      <c r="T11" s="182">
        <v>0</v>
      </c>
      <c r="U11" s="182">
        <v>4889</v>
      </c>
      <c r="V11" s="232">
        <f t="shared" si="5"/>
        <v>4889</v>
      </c>
      <c r="W11" s="233">
        <v>14600</v>
      </c>
      <c r="X11" s="232">
        <f t="shared" si="6"/>
        <v>14600</v>
      </c>
      <c r="Y11" s="233">
        <v>1300</v>
      </c>
      <c r="Z11" s="182">
        <v>0</v>
      </c>
      <c r="AA11" s="232">
        <f t="shared" si="7"/>
        <v>1300</v>
      </c>
      <c r="AB11" s="233">
        <v>0</v>
      </c>
      <c r="AC11" s="182">
        <v>0</v>
      </c>
      <c r="AD11" s="232">
        <f t="shared" si="8"/>
        <v>0</v>
      </c>
    </row>
    <row r="12" spans="1:30" x14ac:dyDescent="0.3">
      <c r="A12" s="239" t="s">
        <v>17</v>
      </c>
      <c r="B12" s="225" t="s">
        <v>186</v>
      </c>
      <c r="C12" s="228">
        <v>281000</v>
      </c>
      <c r="D12" s="182"/>
      <c r="E12" s="389"/>
      <c r="F12" s="320">
        <f t="shared" si="1"/>
        <v>281000</v>
      </c>
      <c r="G12" s="233">
        <v>0</v>
      </c>
      <c r="H12" s="232">
        <f t="shared" si="0"/>
        <v>0</v>
      </c>
      <c r="I12" s="227">
        <v>0</v>
      </c>
      <c r="J12" s="182">
        <v>0</v>
      </c>
      <c r="K12" s="232">
        <f t="shared" si="2"/>
        <v>0</v>
      </c>
      <c r="L12" s="233">
        <v>0</v>
      </c>
      <c r="M12" s="182">
        <v>0</v>
      </c>
      <c r="N12" s="232">
        <f t="shared" si="3"/>
        <v>0</v>
      </c>
      <c r="O12" s="233">
        <v>0</v>
      </c>
      <c r="P12" s="182">
        <v>0</v>
      </c>
      <c r="Q12" s="182">
        <v>0</v>
      </c>
      <c r="R12" s="232">
        <f t="shared" si="4"/>
        <v>0</v>
      </c>
      <c r="S12" s="233">
        <v>0</v>
      </c>
      <c r="T12" s="182">
        <v>0</v>
      </c>
      <c r="U12" s="182">
        <v>0</v>
      </c>
      <c r="V12" s="232">
        <f t="shared" si="5"/>
        <v>0</v>
      </c>
      <c r="W12" s="233">
        <v>0</v>
      </c>
      <c r="X12" s="232">
        <f t="shared" si="6"/>
        <v>0</v>
      </c>
      <c r="Y12" s="233">
        <v>0</v>
      </c>
      <c r="Z12" s="182">
        <v>0</v>
      </c>
      <c r="AA12" s="232">
        <f t="shared" si="7"/>
        <v>0</v>
      </c>
      <c r="AB12" s="233">
        <v>0</v>
      </c>
      <c r="AC12" s="182">
        <v>0</v>
      </c>
      <c r="AD12" s="232">
        <f t="shared" si="8"/>
        <v>0</v>
      </c>
    </row>
    <row r="13" spans="1:30" x14ac:dyDescent="0.3">
      <c r="A13" s="239" t="s">
        <v>18</v>
      </c>
      <c r="B13" s="225" t="s">
        <v>91</v>
      </c>
      <c r="C13" s="228">
        <v>0</v>
      </c>
      <c r="D13" s="182"/>
      <c r="E13" s="389"/>
      <c r="F13" s="320">
        <f t="shared" si="1"/>
        <v>0</v>
      </c>
      <c r="G13" s="233">
        <v>0</v>
      </c>
      <c r="H13" s="232">
        <f t="shared" si="0"/>
        <v>0</v>
      </c>
      <c r="I13" s="227">
        <v>0</v>
      </c>
      <c r="J13" s="182">
        <v>0</v>
      </c>
      <c r="K13" s="232">
        <f t="shared" si="2"/>
        <v>0</v>
      </c>
      <c r="L13" s="233">
        <v>0</v>
      </c>
      <c r="M13" s="182">
        <v>0</v>
      </c>
      <c r="N13" s="232">
        <f t="shared" si="3"/>
        <v>0</v>
      </c>
      <c r="O13" s="233">
        <v>0</v>
      </c>
      <c r="P13" s="182">
        <v>0</v>
      </c>
      <c r="Q13" s="182">
        <v>0</v>
      </c>
      <c r="R13" s="232">
        <f t="shared" si="4"/>
        <v>0</v>
      </c>
      <c r="S13" s="233">
        <v>0</v>
      </c>
      <c r="T13" s="182">
        <v>0</v>
      </c>
      <c r="U13" s="182">
        <v>0</v>
      </c>
      <c r="V13" s="232">
        <f t="shared" si="5"/>
        <v>0</v>
      </c>
      <c r="W13" s="233">
        <v>0</v>
      </c>
      <c r="X13" s="232">
        <f t="shared" si="6"/>
        <v>0</v>
      </c>
      <c r="Y13" s="233">
        <v>0</v>
      </c>
      <c r="Z13" s="182">
        <v>0</v>
      </c>
      <c r="AA13" s="232">
        <f t="shared" si="7"/>
        <v>0</v>
      </c>
      <c r="AB13" s="233">
        <v>0</v>
      </c>
      <c r="AC13" s="182">
        <v>0</v>
      </c>
      <c r="AD13" s="232">
        <f t="shared" si="8"/>
        <v>0</v>
      </c>
    </row>
    <row r="14" spans="1:30" x14ac:dyDescent="0.3">
      <c r="A14" s="239" t="s">
        <v>19</v>
      </c>
      <c r="B14" s="225" t="s">
        <v>92</v>
      </c>
      <c r="C14" s="228">
        <v>0</v>
      </c>
      <c r="D14" s="182"/>
      <c r="E14" s="389"/>
      <c r="F14" s="320">
        <f t="shared" si="1"/>
        <v>0</v>
      </c>
      <c r="G14" s="233">
        <v>0</v>
      </c>
      <c r="H14" s="232">
        <f t="shared" si="0"/>
        <v>0</v>
      </c>
      <c r="I14" s="227">
        <v>0</v>
      </c>
      <c r="J14" s="182">
        <v>0</v>
      </c>
      <c r="K14" s="232">
        <f t="shared" si="2"/>
        <v>0</v>
      </c>
      <c r="L14" s="233">
        <v>0</v>
      </c>
      <c r="M14" s="182">
        <v>0</v>
      </c>
      <c r="N14" s="232">
        <f t="shared" si="3"/>
        <v>0</v>
      </c>
      <c r="O14" s="233">
        <v>0</v>
      </c>
      <c r="P14" s="182">
        <v>0</v>
      </c>
      <c r="Q14" s="182">
        <v>0</v>
      </c>
      <c r="R14" s="232">
        <f t="shared" si="4"/>
        <v>0</v>
      </c>
      <c r="S14" s="233">
        <v>0</v>
      </c>
      <c r="T14" s="182">
        <v>0</v>
      </c>
      <c r="U14" s="182">
        <v>0</v>
      </c>
      <c r="V14" s="232">
        <f t="shared" si="5"/>
        <v>0</v>
      </c>
      <c r="W14" s="233">
        <v>0</v>
      </c>
      <c r="X14" s="232">
        <f t="shared" si="6"/>
        <v>0</v>
      </c>
      <c r="Y14" s="233">
        <v>0</v>
      </c>
      <c r="Z14" s="182">
        <v>0</v>
      </c>
      <c r="AA14" s="232">
        <f t="shared" si="7"/>
        <v>0</v>
      </c>
      <c r="AB14" s="233">
        <v>0</v>
      </c>
      <c r="AC14" s="182">
        <v>0</v>
      </c>
      <c r="AD14" s="232">
        <f t="shared" si="8"/>
        <v>0</v>
      </c>
    </row>
    <row r="15" spans="1:30" x14ac:dyDescent="0.3">
      <c r="A15" s="240" t="s">
        <v>20</v>
      </c>
      <c r="B15" s="226" t="s">
        <v>93</v>
      </c>
      <c r="C15" s="233">
        <f>C7+C8+C9+C10+C11+C12+C13+C14</f>
        <v>3259263</v>
      </c>
      <c r="D15" s="182">
        <f>D7+D8+D9+D10+D11+D12+D13+D14</f>
        <v>38100</v>
      </c>
      <c r="E15" s="182">
        <f>E7+E8+E9+E10+E11+E12+E13+E14</f>
        <v>14144</v>
      </c>
      <c r="F15" s="320">
        <f t="shared" si="1"/>
        <v>3311507</v>
      </c>
      <c r="G15" s="233">
        <f>G7+G8+G9+G10+G11+G12+G13+G14</f>
        <v>8334</v>
      </c>
      <c r="H15" s="232">
        <f t="shared" si="0"/>
        <v>8334</v>
      </c>
      <c r="I15" s="227">
        <f>I7+I8+I9+I10+I11+I12+I13+I14</f>
        <v>0</v>
      </c>
      <c r="J15" s="182">
        <v>4250</v>
      </c>
      <c r="K15" s="232">
        <f t="shared" si="2"/>
        <v>4250</v>
      </c>
      <c r="L15" s="233">
        <f>L7+L8+L9+L10+L11+L12+L13+L14</f>
        <v>5200</v>
      </c>
      <c r="M15" s="182">
        <f>M7+M8+M9+M10+M11+M12+M13+M14</f>
        <v>2726</v>
      </c>
      <c r="N15" s="232">
        <f t="shared" si="3"/>
        <v>7926</v>
      </c>
      <c r="O15" s="233">
        <f>O7+O8+O9+O10+O11+O12+O13+O14</f>
        <v>635</v>
      </c>
      <c r="P15" s="182">
        <f>P7+P8+P9+P10+P11+P12+P13+P14</f>
        <v>0</v>
      </c>
      <c r="Q15" s="182">
        <f>Q7+Q8+Q9+Q10+Q11+Q12+Q13+Q14</f>
        <v>12580</v>
      </c>
      <c r="R15" s="232">
        <f t="shared" si="4"/>
        <v>13215</v>
      </c>
      <c r="S15" s="233">
        <v>0</v>
      </c>
      <c r="T15" s="182">
        <f>T7+T8+T9+T10+T11+T12+T13+T14</f>
        <v>0</v>
      </c>
      <c r="U15" s="182">
        <f>U7+U8+U9+U10+U11+U12+U13+U14</f>
        <v>4889</v>
      </c>
      <c r="V15" s="232">
        <f t="shared" si="5"/>
        <v>4889</v>
      </c>
      <c r="W15" s="233">
        <f>W7+W8+W9+W10+W11+W12+W13+W14</f>
        <v>18600</v>
      </c>
      <c r="X15" s="232">
        <f t="shared" si="6"/>
        <v>18600</v>
      </c>
      <c r="Y15" s="233">
        <f>Y7+Y8+Y9+Y10+Y11+Y12+Y13+Y14</f>
        <v>1300</v>
      </c>
      <c r="Z15" s="233">
        <f>Z7+Z8+Z9+Z10+Z11+Z12+Z13+Z14</f>
        <v>0</v>
      </c>
      <c r="AA15" s="232">
        <f t="shared" si="7"/>
        <v>1300</v>
      </c>
      <c r="AB15" s="233">
        <v>0</v>
      </c>
      <c r="AC15" s="182">
        <v>0</v>
      </c>
      <c r="AD15" s="232">
        <f t="shared" si="8"/>
        <v>0</v>
      </c>
    </row>
    <row r="16" spans="1:30" x14ac:dyDescent="0.3">
      <c r="A16" s="239" t="s">
        <v>21</v>
      </c>
      <c r="B16" s="225" t="s">
        <v>94</v>
      </c>
      <c r="C16" s="228">
        <v>350000</v>
      </c>
      <c r="D16" s="182"/>
      <c r="E16" s="389"/>
      <c r="F16" s="320">
        <f t="shared" si="1"/>
        <v>350000</v>
      </c>
      <c r="G16" s="233">
        <v>0</v>
      </c>
      <c r="H16" s="232">
        <f t="shared" si="0"/>
        <v>0</v>
      </c>
      <c r="I16" s="227">
        <v>0</v>
      </c>
      <c r="J16" s="182">
        <v>0</v>
      </c>
      <c r="K16" s="232">
        <f t="shared" si="2"/>
        <v>0</v>
      </c>
      <c r="L16" s="233">
        <v>0</v>
      </c>
      <c r="M16" s="182">
        <v>0</v>
      </c>
      <c r="N16" s="232">
        <f t="shared" si="3"/>
        <v>0</v>
      </c>
      <c r="O16" s="233">
        <v>0</v>
      </c>
      <c r="P16" s="182">
        <v>0</v>
      </c>
      <c r="Q16" s="182">
        <v>0</v>
      </c>
      <c r="R16" s="232">
        <f t="shared" si="4"/>
        <v>0</v>
      </c>
      <c r="S16" s="233">
        <v>0</v>
      </c>
      <c r="T16" s="182">
        <v>0</v>
      </c>
      <c r="U16" s="182">
        <v>0</v>
      </c>
      <c r="V16" s="232">
        <f t="shared" si="5"/>
        <v>0</v>
      </c>
      <c r="W16" s="233">
        <v>0</v>
      </c>
      <c r="X16" s="232">
        <f t="shared" si="6"/>
        <v>0</v>
      </c>
      <c r="Y16" s="233">
        <v>0</v>
      </c>
      <c r="Z16" s="182">
        <v>0</v>
      </c>
      <c r="AA16" s="232">
        <f t="shared" si="7"/>
        <v>0</v>
      </c>
      <c r="AB16" s="233">
        <v>0</v>
      </c>
      <c r="AC16" s="182">
        <v>0</v>
      </c>
      <c r="AD16" s="232">
        <f t="shared" si="8"/>
        <v>0</v>
      </c>
    </row>
    <row r="17" spans="1:30" x14ac:dyDescent="0.3">
      <c r="A17" s="239" t="s">
        <v>22</v>
      </c>
      <c r="B17" s="225" t="s">
        <v>95</v>
      </c>
      <c r="C17" s="228">
        <v>0</v>
      </c>
      <c r="D17" s="182"/>
      <c r="E17" s="389"/>
      <c r="F17" s="320">
        <f t="shared" si="1"/>
        <v>0</v>
      </c>
      <c r="G17" s="233">
        <v>0</v>
      </c>
      <c r="H17" s="232">
        <f t="shared" si="0"/>
        <v>0</v>
      </c>
      <c r="I17" s="227">
        <v>0</v>
      </c>
      <c r="J17" s="182">
        <v>0</v>
      </c>
      <c r="K17" s="232">
        <f t="shared" si="2"/>
        <v>0</v>
      </c>
      <c r="L17" s="233">
        <v>0</v>
      </c>
      <c r="M17" s="182">
        <v>0</v>
      </c>
      <c r="N17" s="232">
        <f t="shared" si="3"/>
        <v>0</v>
      </c>
      <c r="O17" s="233">
        <v>0</v>
      </c>
      <c r="P17" s="182">
        <v>0</v>
      </c>
      <c r="Q17" s="182">
        <v>0</v>
      </c>
      <c r="R17" s="232">
        <f t="shared" si="4"/>
        <v>0</v>
      </c>
      <c r="S17" s="233">
        <v>0</v>
      </c>
      <c r="T17" s="182">
        <v>0</v>
      </c>
      <c r="U17" s="182">
        <v>0</v>
      </c>
      <c r="V17" s="232">
        <f t="shared" si="5"/>
        <v>0</v>
      </c>
      <c r="W17" s="233">
        <v>0</v>
      </c>
      <c r="X17" s="232">
        <f t="shared" si="6"/>
        <v>0</v>
      </c>
      <c r="Y17" s="233">
        <v>0</v>
      </c>
      <c r="Z17" s="182">
        <v>0</v>
      </c>
      <c r="AA17" s="232">
        <f t="shared" si="7"/>
        <v>0</v>
      </c>
      <c r="AB17" s="233">
        <v>0</v>
      </c>
      <c r="AC17" s="182">
        <v>0</v>
      </c>
      <c r="AD17" s="232">
        <f t="shared" si="8"/>
        <v>0</v>
      </c>
    </row>
    <row r="18" spans="1:30" x14ac:dyDescent="0.3">
      <c r="A18" s="239" t="s">
        <v>23</v>
      </c>
      <c r="B18" s="225" t="s">
        <v>179</v>
      </c>
      <c r="C18" s="228">
        <v>326000</v>
      </c>
      <c r="D18" s="182"/>
      <c r="E18" s="389"/>
      <c r="F18" s="320">
        <f t="shared" si="1"/>
        <v>326000</v>
      </c>
      <c r="G18" s="233">
        <v>0</v>
      </c>
      <c r="H18" s="232">
        <f t="shared" si="0"/>
        <v>0</v>
      </c>
      <c r="I18" s="227">
        <v>0</v>
      </c>
      <c r="J18" s="182">
        <v>0</v>
      </c>
      <c r="K18" s="232">
        <f t="shared" si="2"/>
        <v>0</v>
      </c>
      <c r="L18" s="233">
        <v>0</v>
      </c>
      <c r="M18" s="182">
        <v>0</v>
      </c>
      <c r="N18" s="232">
        <f t="shared" si="3"/>
        <v>0</v>
      </c>
      <c r="O18" s="233">
        <v>0</v>
      </c>
      <c r="P18" s="182">
        <v>0</v>
      </c>
      <c r="Q18" s="182">
        <v>0</v>
      </c>
      <c r="R18" s="232">
        <f t="shared" si="4"/>
        <v>0</v>
      </c>
      <c r="S18" s="233">
        <v>0</v>
      </c>
      <c r="T18" s="182">
        <v>0</v>
      </c>
      <c r="U18" s="182">
        <v>0</v>
      </c>
      <c r="V18" s="232">
        <f t="shared" si="5"/>
        <v>0</v>
      </c>
      <c r="W18" s="233">
        <v>0</v>
      </c>
      <c r="X18" s="232">
        <f t="shared" si="6"/>
        <v>0</v>
      </c>
      <c r="Y18" s="233">
        <v>0</v>
      </c>
      <c r="Z18" s="182">
        <v>0</v>
      </c>
      <c r="AA18" s="232">
        <f t="shared" si="7"/>
        <v>0</v>
      </c>
      <c r="AB18" s="233">
        <v>0</v>
      </c>
      <c r="AC18" s="182">
        <v>0</v>
      </c>
      <c r="AD18" s="232">
        <f t="shared" si="8"/>
        <v>0</v>
      </c>
    </row>
    <row r="19" spans="1:30" x14ac:dyDescent="0.3">
      <c r="A19" s="239" t="s">
        <v>24</v>
      </c>
      <c r="B19" s="225" t="s">
        <v>97</v>
      </c>
      <c r="C19" s="228">
        <v>0</v>
      </c>
      <c r="D19" s="182"/>
      <c r="E19" s="389"/>
      <c r="F19" s="320">
        <f t="shared" si="1"/>
        <v>0</v>
      </c>
      <c r="G19" s="233">
        <v>384636</v>
      </c>
      <c r="H19" s="232">
        <f t="shared" si="0"/>
        <v>384636</v>
      </c>
      <c r="I19" s="227">
        <v>57823</v>
      </c>
      <c r="J19" s="182">
        <v>2964</v>
      </c>
      <c r="K19" s="232">
        <f t="shared" si="2"/>
        <v>60787</v>
      </c>
      <c r="L19" s="233">
        <v>93151</v>
      </c>
      <c r="M19" s="182">
        <v>7434</v>
      </c>
      <c r="N19" s="232">
        <f t="shared" si="3"/>
        <v>100585</v>
      </c>
      <c r="O19" s="233">
        <v>196691</v>
      </c>
      <c r="P19" s="182">
        <v>11161</v>
      </c>
      <c r="Q19" s="182">
        <v>35680</v>
      </c>
      <c r="R19" s="232">
        <f t="shared" si="4"/>
        <v>243532</v>
      </c>
      <c r="S19" s="233">
        <v>141197</v>
      </c>
      <c r="T19" s="182">
        <v>9626</v>
      </c>
      <c r="U19" s="182">
        <v>24321</v>
      </c>
      <c r="V19" s="232">
        <f t="shared" si="5"/>
        <v>175144</v>
      </c>
      <c r="W19" s="233">
        <v>30529</v>
      </c>
      <c r="X19" s="232">
        <f t="shared" si="6"/>
        <v>30529</v>
      </c>
      <c r="Y19" s="233">
        <v>21878</v>
      </c>
      <c r="Z19" s="182">
        <v>1575</v>
      </c>
      <c r="AA19" s="232">
        <f t="shared" si="7"/>
        <v>23453</v>
      </c>
      <c r="AB19" s="233">
        <v>33740</v>
      </c>
      <c r="AC19" s="182">
        <v>28530</v>
      </c>
      <c r="AD19" s="232">
        <f t="shared" si="8"/>
        <v>62270</v>
      </c>
    </row>
    <row r="20" spans="1:30" x14ac:dyDescent="0.3">
      <c r="A20" s="239"/>
      <c r="B20" s="225" t="s">
        <v>248</v>
      </c>
      <c r="C20" s="228">
        <v>0</v>
      </c>
      <c r="D20" s="182"/>
      <c r="E20" s="389"/>
      <c r="F20" s="320">
        <f t="shared" si="1"/>
        <v>0</v>
      </c>
      <c r="G20" s="233">
        <v>384636</v>
      </c>
      <c r="H20" s="232">
        <f t="shared" si="0"/>
        <v>384636</v>
      </c>
      <c r="I20" s="227">
        <v>57823</v>
      </c>
      <c r="J20" s="182">
        <v>2964</v>
      </c>
      <c r="K20" s="232">
        <f t="shared" si="2"/>
        <v>60787</v>
      </c>
      <c r="L20" s="233">
        <v>93151</v>
      </c>
      <c r="M20" s="182">
        <v>7434</v>
      </c>
      <c r="N20" s="232">
        <f t="shared" si="3"/>
        <v>100585</v>
      </c>
      <c r="O20" s="233">
        <v>196691</v>
      </c>
      <c r="P20" s="182">
        <v>11161</v>
      </c>
      <c r="Q20" s="182">
        <v>35680</v>
      </c>
      <c r="R20" s="232">
        <f t="shared" si="4"/>
        <v>243532</v>
      </c>
      <c r="S20" s="233">
        <v>141197</v>
      </c>
      <c r="T20" s="182">
        <v>9626</v>
      </c>
      <c r="U20" s="182">
        <v>24321</v>
      </c>
      <c r="V20" s="232">
        <f t="shared" si="5"/>
        <v>175144</v>
      </c>
      <c r="W20" s="233">
        <v>30529</v>
      </c>
      <c r="X20" s="232">
        <f t="shared" si="6"/>
        <v>30529</v>
      </c>
      <c r="Y20" s="233">
        <v>21878</v>
      </c>
      <c r="Z20" s="182">
        <v>1575</v>
      </c>
      <c r="AA20" s="232">
        <f t="shared" si="7"/>
        <v>23453</v>
      </c>
      <c r="AB20" s="233">
        <v>33740</v>
      </c>
      <c r="AC20" s="182">
        <v>28530</v>
      </c>
      <c r="AD20" s="232">
        <f t="shared" si="8"/>
        <v>62270</v>
      </c>
    </row>
    <row r="21" spans="1:30" x14ac:dyDescent="0.3">
      <c r="A21" s="239" t="s">
        <v>25</v>
      </c>
      <c r="B21" s="225" t="s">
        <v>99</v>
      </c>
      <c r="C21" s="228">
        <v>0</v>
      </c>
      <c r="D21" s="182"/>
      <c r="E21" s="389"/>
      <c r="F21" s="320">
        <f t="shared" si="1"/>
        <v>0</v>
      </c>
      <c r="G21" s="233">
        <v>0</v>
      </c>
      <c r="H21" s="232">
        <f t="shared" si="0"/>
        <v>0</v>
      </c>
      <c r="I21" s="227">
        <v>0</v>
      </c>
      <c r="J21" s="182">
        <v>0</v>
      </c>
      <c r="K21" s="232">
        <f t="shared" si="2"/>
        <v>0</v>
      </c>
      <c r="L21" s="233">
        <v>0</v>
      </c>
      <c r="M21" s="182">
        <v>0</v>
      </c>
      <c r="N21" s="232">
        <f t="shared" si="3"/>
        <v>0</v>
      </c>
      <c r="O21" s="233">
        <v>0</v>
      </c>
      <c r="P21" s="182">
        <v>0</v>
      </c>
      <c r="Q21" s="182">
        <v>0</v>
      </c>
      <c r="R21" s="232">
        <f t="shared" si="4"/>
        <v>0</v>
      </c>
      <c r="S21" s="233">
        <v>0</v>
      </c>
      <c r="T21" s="182">
        <v>0</v>
      </c>
      <c r="U21" s="182">
        <v>0</v>
      </c>
      <c r="V21" s="232">
        <f t="shared" si="5"/>
        <v>0</v>
      </c>
      <c r="W21" s="233">
        <v>0</v>
      </c>
      <c r="X21" s="232">
        <f t="shared" si="6"/>
        <v>0</v>
      </c>
      <c r="Y21" s="233">
        <v>0</v>
      </c>
      <c r="Z21" s="182">
        <v>0</v>
      </c>
      <c r="AA21" s="232">
        <f t="shared" si="7"/>
        <v>0</v>
      </c>
      <c r="AB21" s="233">
        <v>0</v>
      </c>
      <c r="AC21" s="182">
        <v>0</v>
      </c>
      <c r="AD21" s="232">
        <f t="shared" si="8"/>
        <v>0</v>
      </c>
    </row>
    <row r="22" spans="1:30" ht="21.6" x14ac:dyDescent="0.3">
      <c r="A22" s="239" t="s">
        <v>26</v>
      </c>
      <c r="B22" s="225" t="s">
        <v>100</v>
      </c>
      <c r="C22" s="228">
        <v>0</v>
      </c>
      <c r="D22" s="182"/>
      <c r="E22" s="389"/>
      <c r="F22" s="320">
        <f t="shared" si="1"/>
        <v>0</v>
      </c>
      <c r="G22" s="233">
        <v>0</v>
      </c>
      <c r="H22" s="232">
        <f t="shared" si="0"/>
        <v>0</v>
      </c>
      <c r="I22" s="227">
        <v>0</v>
      </c>
      <c r="J22" s="182">
        <v>0</v>
      </c>
      <c r="K22" s="232">
        <f t="shared" si="2"/>
        <v>0</v>
      </c>
      <c r="L22" s="233">
        <v>0</v>
      </c>
      <c r="M22" s="182">
        <v>0</v>
      </c>
      <c r="N22" s="232">
        <f t="shared" si="3"/>
        <v>0</v>
      </c>
      <c r="O22" s="233">
        <v>0</v>
      </c>
      <c r="P22" s="182">
        <v>0</v>
      </c>
      <c r="Q22" s="182">
        <v>0</v>
      </c>
      <c r="R22" s="232">
        <f t="shared" si="4"/>
        <v>0</v>
      </c>
      <c r="S22" s="233">
        <v>0</v>
      </c>
      <c r="T22" s="182">
        <v>0</v>
      </c>
      <c r="U22" s="182">
        <v>0</v>
      </c>
      <c r="V22" s="232">
        <f t="shared" si="5"/>
        <v>0</v>
      </c>
      <c r="W22" s="233">
        <v>0</v>
      </c>
      <c r="X22" s="232">
        <f t="shared" si="6"/>
        <v>0</v>
      </c>
      <c r="Y22" s="233">
        <v>0</v>
      </c>
      <c r="Z22" s="182">
        <v>0</v>
      </c>
      <c r="AA22" s="232">
        <f t="shared" si="7"/>
        <v>0</v>
      </c>
      <c r="AB22" s="233">
        <v>0</v>
      </c>
      <c r="AC22" s="182">
        <v>0</v>
      </c>
      <c r="AD22" s="232">
        <f t="shared" si="8"/>
        <v>0</v>
      </c>
    </row>
    <row r="23" spans="1:30" x14ac:dyDescent="0.3">
      <c r="A23" s="239" t="s">
        <v>27</v>
      </c>
      <c r="B23" s="226" t="s">
        <v>101</v>
      </c>
      <c r="C23" s="233">
        <f>C16+C17+C18+C19+C21+C22</f>
        <v>676000</v>
      </c>
      <c r="D23" s="182"/>
      <c r="E23" s="389"/>
      <c r="F23" s="320">
        <f t="shared" si="1"/>
        <v>676000</v>
      </c>
      <c r="G23" s="233">
        <f>G16+G17+G18+G19+G21+G22</f>
        <v>384636</v>
      </c>
      <c r="H23" s="232">
        <f t="shared" si="0"/>
        <v>384636</v>
      </c>
      <c r="I23" s="227">
        <f>I16+I17+I18+I19+I21+I22</f>
        <v>57823</v>
      </c>
      <c r="J23" s="182">
        <f>J16+J17+J18+J19+J21+J22</f>
        <v>2964</v>
      </c>
      <c r="K23" s="232">
        <f t="shared" si="2"/>
        <v>60787</v>
      </c>
      <c r="L23" s="233">
        <f>L16+L17+L18+L19+L21+L22</f>
        <v>93151</v>
      </c>
      <c r="M23" s="182">
        <f>M16+M17+M18+M19+M21+M22</f>
        <v>7434</v>
      </c>
      <c r="N23" s="232">
        <f t="shared" si="3"/>
        <v>100585</v>
      </c>
      <c r="O23" s="233">
        <f>O16+O17+O18+O19+O21+O22</f>
        <v>196691</v>
      </c>
      <c r="P23" s="182">
        <f>P16+P17+P18+P19+P21+P22</f>
        <v>11161</v>
      </c>
      <c r="Q23" s="182">
        <f>Q16+Q17+Q18+Q19+Q21+Q22</f>
        <v>35680</v>
      </c>
      <c r="R23" s="232">
        <f t="shared" si="4"/>
        <v>243532</v>
      </c>
      <c r="S23" s="233">
        <f>S16+S17+S18+S19+S21+S22</f>
        <v>141197</v>
      </c>
      <c r="T23" s="182">
        <f>T16+T17+T18+T19+T21+T22</f>
        <v>9626</v>
      </c>
      <c r="U23" s="182">
        <f>U16+U17+U18+U19+U21+U22</f>
        <v>24321</v>
      </c>
      <c r="V23" s="232">
        <f t="shared" si="5"/>
        <v>175144</v>
      </c>
      <c r="W23" s="233">
        <f>W16+W17+W18+W19+W21+W22</f>
        <v>30529</v>
      </c>
      <c r="X23" s="232">
        <f t="shared" si="6"/>
        <v>30529</v>
      </c>
      <c r="Y23" s="233">
        <f>Y16+Y17+Y18+Y19+Y21+Y22</f>
        <v>21878</v>
      </c>
      <c r="Z23" s="182">
        <f>Z16+Z17+Z18+Z19+Z21+Z22</f>
        <v>1575</v>
      </c>
      <c r="AA23" s="232">
        <f t="shared" si="7"/>
        <v>23453</v>
      </c>
      <c r="AB23" s="233">
        <f>AB16+AB17+AB18+AB19+AB21+AB22</f>
        <v>33740</v>
      </c>
      <c r="AC23" s="182">
        <f>AC16+AC17+AC18+AC19+AC21+AC22</f>
        <v>28530</v>
      </c>
      <c r="AD23" s="232">
        <f t="shared" si="8"/>
        <v>62270</v>
      </c>
    </row>
    <row r="24" spans="1:30" ht="22.2" thickBot="1" x14ac:dyDescent="0.35">
      <c r="A24" s="241" t="s">
        <v>28</v>
      </c>
      <c r="B24" s="242" t="s">
        <v>102</v>
      </c>
      <c r="C24" s="236">
        <f>C15+C23</f>
        <v>3935263</v>
      </c>
      <c r="D24" s="237">
        <f>D15+D23</f>
        <v>38100</v>
      </c>
      <c r="E24" s="237">
        <f>E15+E23</f>
        <v>14144</v>
      </c>
      <c r="F24" s="320">
        <f t="shared" si="1"/>
        <v>3987507</v>
      </c>
      <c r="G24" s="236">
        <f>G15+G23</f>
        <v>392970</v>
      </c>
      <c r="H24" s="234">
        <f t="shared" si="0"/>
        <v>392970</v>
      </c>
      <c r="I24" s="238">
        <f>I15+I23</f>
        <v>57823</v>
      </c>
      <c r="J24" s="237">
        <f>J15+J23</f>
        <v>7214</v>
      </c>
      <c r="K24" s="234">
        <f t="shared" si="2"/>
        <v>65037</v>
      </c>
      <c r="L24" s="236">
        <f>L15+L23</f>
        <v>98351</v>
      </c>
      <c r="M24" s="237">
        <f>M15+M23</f>
        <v>10160</v>
      </c>
      <c r="N24" s="234">
        <f t="shared" si="3"/>
        <v>108511</v>
      </c>
      <c r="O24" s="236">
        <f>O15+O23</f>
        <v>197326</v>
      </c>
      <c r="P24" s="237">
        <f>P15+P23</f>
        <v>11161</v>
      </c>
      <c r="Q24" s="237">
        <f>Q15+Q23</f>
        <v>48260</v>
      </c>
      <c r="R24" s="234">
        <f t="shared" si="4"/>
        <v>256747</v>
      </c>
      <c r="S24" s="236">
        <f>S15+S23</f>
        <v>141197</v>
      </c>
      <c r="T24" s="237">
        <f>T15+T23</f>
        <v>9626</v>
      </c>
      <c r="U24" s="237">
        <f>U15+U23</f>
        <v>29210</v>
      </c>
      <c r="V24" s="234">
        <f t="shared" si="5"/>
        <v>180033</v>
      </c>
      <c r="W24" s="236">
        <f>W15+W23</f>
        <v>49129</v>
      </c>
      <c r="X24" s="234">
        <f t="shared" si="6"/>
        <v>49129</v>
      </c>
      <c r="Y24" s="236">
        <f>Y15+Y23</f>
        <v>23178</v>
      </c>
      <c r="Z24" s="237">
        <f>Z15+Z23</f>
        <v>1575</v>
      </c>
      <c r="AA24" s="234">
        <f t="shared" si="7"/>
        <v>24753</v>
      </c>
      <c r="AB24" s="236">
        <f>AB15+AB23</f>
        <v>33740</v>
      </c>
      <c r="AC24" s="237">
        <f>AC15+AC23</f>
        <v>28530</v>
      </c>
      <c r="AD24" s="234">
        <f t="shared" si="8"/>
        <v>62270</v>
      </c>
    </row>
    <row r="25" spans="1:30" x14ac:dyDescent="0.3">
      <c r="A25" s="126"/>
      <c r="B25" s="56"/>
      <c r="C25" s="59"/>
      <c r="D25" s="59"/>
      <c r="E25" s="59"/>
      <c r="F25" s="132"/>
      <c r="AB25" s="221"/>
      <c r="AC25" s="221"/>
      <c r="AD25" s="221"/>
    </row>
    <row r="26" spans="1:30" ht="15" thickBot="1" x14ac:dyDescent="0.35">
      <c r="A26" s="217"/>
      <c r="B26" s="60"/>
      <c r="C26" s="67"/>
      <c r="D26" s="57"/>
      <c r="E26" s="57"/>
      <c r="F26" s="57"/>
      <c r="AB26" s="221"/>
      <c r="AC26" s="221"/>
      <c r="AD26" s="221"/>
    </row>
    <row r="27" spans="1:30" s="249" customFormat="1" ht="26.25" customHeight="1" thickBot="1" x14ac:dyDescent="0.35">
      <c r="A27" s="265"/>
      <c r="B27" s="266" t="s">
        <v>6</v>
      </c>
      <c r="C27" s="704" t="s">
        <v>251</v>
      </c>
      <c r="D27" s="706"/>
      <c r="E27" s="707"/>
      <c r="F27" s="705"/>
      <c r="G27" s="708" t="s">
        <v>289</v>
      </c>
      <c r="H27" s="709"/>
      <c r="I27" s="704" t="s">
        <v>290</v>
      </c>
      <c r="J27" s="706"/>
      <c r="K27" s="705"/>
      <c r="L27" s="704" t="s">
        <v>291</v>
      </c>
      <c r="M27" s="706"/>
      <c r="N27" s="705"/>
      <c r="O27" s="704" t="s">
        <v>292</v>
      </c>
      <c r="P27" s="706"/>
      <c r="Q27" s="706"/>
      <c r="R27" s="705"/>
      <c r="S27" s="704" t="s">
        <v>293</v>
      </c>
      <c r="T27" s="706"/>
      <c r="U27" s="706"/>
      <c r="V27" s="705"/>
      <c r="W27" s="704" t="s">
        <v>133</v>
      </c>
      <c r="X27" s="705"/>
      <c r="Y27" s="704" t="s">
        <v>44</v>
      </c>
      <c r="Z27" s="706"/>
      <c r="AA27" s="705"/>
      <c r="AB27" s="701" t="s">
        <v>328</v>
      </c>
      <c r="AC27" s="702"/>
      <c r="AD27" s="703"/>
    </row>
    <row r="28" spans="1:30" s="220" customFormat="1" ht="61.8" thickBot="1" x14ac:dyDescent="0.35">
      <c r="A28" s="250" t="s">
        <v>127</v>
      </c>
      <c r="B28" s="264" t="s">
        <v>32</v>
      </c>
      <c r="C28" s="260" t="s">
        <v>302</v>
      </c>
      <c r="D28" s="261" t="s">
        <v>296</v>
      </c>
      <c r="E28" s="261" t="s">
        <v>413</v>
      </c>
      <c r="F28" s="262" t="s">
        <v>216</v>
      </c>
      <c r="G28" s="281" t="s">
        <v>302</v>
      </c>
      <c r="H28" s="280" t="s">
        <v>220</v>
      </c>
      <c r="I28" s="260" t="s">
        <v>297</v>
      </c>
      <c r="J28" s="261" t="s">
        <v>298</v>
      </c>
      <c r="K28" s="263" t="s">
        <v>220</v>
      </c>
      <c r="L28" s="260" t="s">
        <v>297</v>
      </c>
      <c r="M28" s="261" t="s">
        <v>298</v>
      </c>
      <c r="N28" s="264" t="s">
        <v>220</v>
      </c>
      <c r="O28" s="260" t="s">
        <v>294</v>
      </c>
      <c r="P28" s="261" t="s">
        <v>295</v>
      </c>
      <c r="Q28" s="261" t="s">
        <v>296</v>
      </c>
      <c r="R28" s="264" t="s">
        <v>220</v>
      </c>
      <c r="S28" s="260" t="s">
        <v>294</v>
      </c>
      <c r="T28" s="261" t="s">
        <v>295</v>
      </c>
      <c r="U28" s="261" t="s">
        <v>296</v>
      </c>
      <c r="V28" s="264" t="s">
        <v>220</v>
      </c>
      <c r="W28" s="260" t="s">
        <v>301</v>
      </c>
      <c r="X28" s="264" t="s">
        <v>220</v>
      </c>
      <c r="Y28" s="260" t="s">
        <v>299</v>
      </c>
      <c r="Z28" s="261" t="s">
        <v>300</v>
      </c>
      <c r="AA28" s="263" t="s">
        <v>220</v>
      </c>
      <c r="AB28" s="261" t="s">
        <v>329</v>
      </c>
      <c r="AC28" s="261" t="s">
        <v>330</v>
      </c>
      <c r="AD28" s="282" t="s">
        <v>220</v>
      </c>
    </row>
    <row r="29" spans="1:30" x14ac:dyDescent="0.3">
      <c r="A29" s="267" t="s">
        <v>12</v>
      </c>
      <c r="B29" s="268" t="s">
        <v>104</v>
      </c>
      <c r="C29" s="254">
        <f>C30+C31+C32+C33+C34+C35</f>
        <v>1104360</v>
      </c>
      <c r="D29" s="254">
        <f>D30+D31+D32+D33+D34+D35</f>
        <v>115570</v>
      </c>
      <c r="E29" s="254">
        <f>E30+E31+E32+E33+E34+E35</f>
        <v>14144</v>
      </c>
      <c r="F29" s="353">
        <f>SUM(C29:E29)</f>
        <v>1234074</v>
      </c>
      <c r="G29" s="358">
        <f>G30+G31+G32+G33+G34+G35</f>
        <v>386620</v>
      </c>
      <c r="H29" s="323">
        <f t="shared" ref="H29:H47" si="9">SUM(G29:G29)</f>
        <v>386620</v>
      </c>
      <c r="I29" s="354">
        <f>I30+I31+I32+I33+I34+I35</f>
        <v>57823</v>
      </c>
      <c r="J29" s="271">
        <f>J30+J31+J32+J33+J34+J35</f>
        <v>7214</v>
      </c>
      <c r="K29" s="257">
        <f>SUM(I29:J29)</f>
        <v>65037</v>
      </c>
      <c r="L29" s="270">
        <f>L30+L31+L32+L33+L34+L35</f>
        <v>98351</v>
      </c>
      <c r="M29" s="271">
        <f>M30+M31+M32+M33+M34+M35</f>
        <v>10160</v>
      </c>
      <c r="N29" s="257">
        <f>SUM(L29:M29)</f>
        <v>108511</v>
      </c>
      <c r="O29" s="269">
        <f>O30+O31+O32+O33+O34+O35</f>
        <v>197326</v>
      </c>
      <c r="P29" s="271">
        <f>P30+P31+P32+P33+P34+P35</f>
        <v>11161</v>
      </c>
      <c r="Q29" s="271">
        <f>Q30+Q31+Q32+Q33+Q34+Q35</f>
        <v>48260</v>
      </c>
      <c r="R29" s="257">
        <f>O29+P29+Q29</f>
        <v>256747</v>
      </c>
      <c r="S29" s="269">
        <f>S30+S31+S32+S33+S34+S35</f>
        <v>141197</v>
      </c>
      <c r="T29" s="271">
        <f>T30+T31+T32+T33+T34+T35</f>
        <v>9626</v>
      </c>
      <c r="U29" s="271">
        <f>U30+U31+U32+U33+U34+U35</f>
        <v>29210</v>
      </c>
      <c r="V29" s="257">
        <f>S29+T29+U29</f>
        <v>180033</v>
      </c>
      <c r="W29" s="269">
        <f>W30+W31+W32+W33+W34+W35</f>
        <v>49129</v>
      </c>
      <c r="X29" s="257">
        <f>SUM(W29)</f>
        <v>49129</v>
      </c>
      <c r="Y29" s="269">
        <f>Y30+Y31+Y32+Y33+Y34+Y35</f>
        <v>23178</v>
      </c>
      <c r="Z29" s="271">
        <f>Z30+Z31+Z32+Z33+Z34+Z35</f>
        <v>0</v>
      </c>
      <c r="AA29" s="257">
        <f>SUM(Y29:Z29)</f>
        <v>23178</v>
      </c>
      <c r="AB29" s="269">
        <f>AB30+AB31+AB32+AB33+AB34+AB35</f>
        <v>33740</v>
      </c>
      <c r="AC29" s="271">
        <f>AC30+AC31+AC32+AC33+AC34+AC35</f>
        <v>28530</v>
      </c>
      <c r="AD29" s="257">
        <f>SUM(AB29:AC29)</f>
        <v>62270</v>
      </c>
    </row>
    <row r="30" spans="1:30" x14ac:dyDescent="0.3">
      <c r="A30" s="239" t="s">
        <v>60</v>
      </c>
      <c r="B30" s="243" t="s">
        <v>178</v>
      </c>
      <c r="C30" s="228">
        <v>64448</v>
      </c>
      <c r="D30" s="41">
        <v>0</v>
      </c>
      <c r="E30" s="390">
        <v>11986</v>
      </c>
      <c r="F30" s="353">
        <f t="shared" ref="F30:F47" si="10">SUM(C30:E30)</f>
        <v>76434</v>
      </c>
      <c r="G30" s="229">
        <v>262834</v>
      </c>
      <c r="H30" s="232">
        <f t="shared" si="9"/>
        <v>262834</v>
      </c>
      <c r="I30" s="355">
        <v>42865</v>
      </c>
      <c r="J30" s="41">
        <v>0</v>
      </c>
      <c r="K30" s="232">
        <f t="shared" ref="K30:K47" si="11">SUM(I30:J30)</f>
        <v>42865</v>
      </c>
      <c r="L30" s="229">
        <v>73561</v>
      </c>
      <c r="M30" s="41">
        <v>0</v>
      </c>
      <c r="N30" s="232">
        <f t="shared" ref="N30:N47" si="12">SUM(L30:M30)</f>
        <v>73561</v>
      </c>
      <c r="O30" s="229">
        <v>160256</v>
      </c>
      <c r="P30" s="41">
        <v>0</v>
      </c>
      <c r="Q30" s="41">
        <v>0</v>
      </c>
      <c r="R30" s="232">
        <f t="shared" ref="R30:R47" si="13">O30+P30+Q30</f>
        <v>160256</v>
      </c>
      <c r="S30" s="229">
        <v>117836</v>
      </c>
      <c r="T30" s="41">
        <v>0</v>
      </c>
      <c r="U30" s="41">
        <v>0</v>
      </c>
      <c r="V30" s="232">
        <f t="shared" ref="V30:V47" si="14">S30+T30+U30</f>
        <v>117836</v>
      </c>
      <c r="W30" s="229">
        <v>24946</v>
      </c>
      <c r="X30" s="232">
        <f t="shared" ref="X30:X47" si="15">SUM(W30)</f>
        <v>24946</v>
      </c>
      <c r="Y30" s="229">
        <v>17047</v>
      </c>
      <c r="Z30" s="41">
        <v>0</v>
      </c>
      <c r="AA30" s="232">
        <f t="shared" ref="AA30:AA47" si="16">SUM(Y30:Z30)</f>
        <v>17047</v>
      </c>
      <c r="AB30" s="229">
        <v>27112</v>
      </c>
      <c r="AC30" s="41">
        <v>11817</v>
      </c>
      <c r="AD30" s="232">
        <f t="shared" ref="AD30:AD47" si="17">SUM(AB30:AC30)</f>
        <v>38929</v>
      </c>
    </row>
    <row r="31" spans="1:30" ht="21.6" x14ac:dyDescent="0.3">
      <c r="A31" s="239" t="s">
        <v>61</v>
      </c>
      <c r="B31" s="243" t="s">
        <v>180</v>
      </c>
      <c r="C31" s="228">
        <v>11486</v>
      </c>
      <c r="D31" s="41">
        <v>0</v>
      </c>
      <c r="E31" s="390">
        <v>2158</v>
      </c>
      <c r="F31" s="353">
        <f t="shared" si="10"/>
        <v>13644</v>
      </c>
      <c r="G31" s="229">
        <v>47036</v>
      </c>
      <c r="H31" s="232">
        <f t="shared" si="9"/>
        <v>47036</v>
      </c>
      <c r="I31" s="355">
        <v>7891</v>
      </c>
      <c r="J31" s="41">
        <v>0</v>
      </c>
      <c r="K31" s="232">
        <f t="shared" si="11"/>
        <v>7891</v>
      </c>
      <c r="L31" s="229">
        <v>13902</v>
      </c>
      <c r="M31" s="41">
        <v>0</v>
      </c>
      <c r="N31" s="232">
        <f t="shared" si="12"/>
        <v>13902</v>
      </c>
      <c r="O31" s="229">
        <v>32970</v>
      </c>
      <c r="P31" s="41">
        <v>0</v>
      </c>
      <c r="Q31" s="41">
        <v>0</v>
      </c>
      <c r="R31" s="232">
        <f t="shared" si="13"/>
        <v>32970</v>
      </c>
      <c r="S31" s="229">
        <v>21856</v>
      </c>
      <c r="T31" s="41">
        <v>0</v>
      </c>
      <c r="U31" s="41">
        <v>0</v>
      </c>
      <c r="V31" s="232">
        <f t="shared" si="14"/>
        <v>21856</v>
      </c>
      <c r="W31" s="229">
        <v>4568</v>
      </c>
      <c r="X31" s="232">
        <f t="shared" si="15"/>
        <v>4568</v>
      </c>
      <c r="Y31" s="229">
        <v>3088</v>
      </c>
      <c r="Z31" s="41">
        <v>0</v>
      </c>
      <c r="AA31" s="232">
        <f t="shared" si="16"/>
        <v>3088</v>
      </c>
      <c r="AB31" s="229">
        <v>4789</v>
      </c>
      <c r="AC31" s="41">
        <v>2088</v>
      </c>
      <c r="AD31" s="232">
        <f t="shared" si="17"/>
        <v>6877</v>
      </c>
    </row>
    <row r="32" spans="1:30" x14ac:dyDescent="0.3">
      <c r="A32" s="239" t="s">
        <v>62</v>
      </c>
      <c r="B32" s="243" t="s">
        <v>181</v>
      </c>
      <c r="C32" s="228">
        <v>328632</v>
      </c>
      <c r="D32" s="41">
        <v>115570</v>
      </c>
      <c r="E32" s="390">
        <v>0</v>
      </c>
      <c r="F32" s="353">
        <f t="shared" si="10"/>
        <v>444202</v>
      </c>
      <c r="G32" s="229">
        <v>76750</v>
      </c>
      <c r="H32" s="232">
        <f t="shared" si="9"/>
        <v>76750</v>
      </c>
      <c r="I32" s="355">
        <v>7067</v>
      </c>
      <c r="J32" s="41">
        <v>7214</v>
      </c>
      <c r="K32" s="232">
        <f t="shared" si="11"/>
        <v>14281</v>
      </c>
      <c r="L32" s="229">
        <v>10888</v>
      </c>
      <c r="M32" s="41">
        <v>10160</v>
      </c>
      <c r="N32" s="232">
        <f t="shared" si="12"/>
        <v>21048</v>
      </c>
      <c r="O32" s="229">
        <v>4100</v>
      </c>
      <c r="P32" s="41">
        <v>11161</v>
      </c>
      <c r="Q32" s="41">
        <v>48260</v>
      </c>
      <c r="R32" s="232">
        <f t="shared" si="13"/>
        <v>63521</v>
      </c>
      <c r="S32" s="229">
        <v>1505</v>
      </c>
      <c r="T32" s="41">
        <v>9626</v>
      </c>
      <c r="U32" s="41">
        <v>29210</v>
      </c>
      <c r="V32" s="232">
        <f t="shared" si="14"/>
        <v>40341</v>
      </c>
      <c r="W32" s="229">
        <v>19615</v>
      </c>
      <c r="X32" s="232">
        <f t="shared" si="15"/>
        <v>19615</v>
      </c>
      <c r="Y32" s="229">
        <v>3043</v>
      </c>
      <c r="Z32" s="41">
        <v>0</v>
      </c>
      <c r="AA32" s="232">
        <f t="shared" si="16"/>
        <v>3043</v>
      </c>
      <c r="AB32" s="229">
        <v>1839</v>
      </c>
      <c r="AC32" s="41">
        <v>14625</v>
      </c>
      <c r="AD32" s="232">
        <f t="shared" si="17"/>
        <v>16464</v>
      </c>
    </row>
    <row r="33" spans="1:30" x14ac:dyDescent="0.3">
      <c r="A33" s="239" t="s">
        <v>63</v>
      </c>
      <c r="B33" s="243" t="s">
        <v>187</v>
      </c>
      <c r="C33" s="228">
        <v>17000</v>
      </c>
      <c r="D33" s="41">
        <v>0</v>
      </c>
      <c r="E33" s="390">
        <v>0</v>
      </c>
      <c r="F33" s="353">
        <f t="shared" si="10"/>
        <v>17000</v>
      </c>
      <c r="G33" s="229">
        <v>0</v>
      </c>
      <c r="H33" s="232">
        <f t="shared" si="9"/>
        <v>0</v>
      </c>
      <c r="I33" s="355">
        <v>0</v>
      </c>
      <c r="J33" s="41">
        <v>0</v>
      </c>
      <c r="K33" s="232">
        <f t="shared" si="11"/>
        <v>0</v>
      </c>
      <c r="L33" s="229">
        <v>0</v>
      </c>
      <c r="M33" s="41">
        <v>0</v>
      </c>
      <c r="N33" s="232">
        <f t="shared" si="12"/>
        <v>0</v>
      </c>
      <c r="O33" s="229">
        <v>0</v>
      </c>
      <c r="P33" s="41">
        <v>0</v>
      </c>
      <c r="Q33" s="41">
        <v>0</v>
      </c>
      <c r="R33" s="232">
        <f t="shared" si="13"/>
        <v>0</v>
      </c>
      <c r="S33" s="229">
        <v>0</v>
      </c>
      <c r="T33" s="41">
        <v>0</v>
      </c>
      <c r="U33" s="41">
        <v>0</v>
      </c>
      <c r="V33" s="232">
        <f t="shared" si="14"/>
        <v>0</v>
      </c>
      <c r="W33" s="229">
        <v>0</v>
      </c>
      <c r="X33" s="232">
        <f t="shared" si="15"/>
        <v>0</v>
      </c>
      <c r="Y33" s="229">
        <v>0</v>
      </c>
      <c r="Z33" s="41">
        <v>0</v>
      </c>
      <c r="AA33" s="232">
        <f t="shared" si="16"/>
        <v>0</v>
      </c>
      <c r="AB33" s="229">
        <v>0</v>
      </c>
      <c r="AC33" s="41">
        <v>0</v>
      </c>
      <c r="AD33" s="232">
        <f t="shared" si="17"/>
        <v>0</v>
      </c>
    </row>
    <row r="34" spans="1:30" x14ac:dyDescent="0.3">
      <c r="A34" s="239" t="s">
        <v>64</v>
      </c>
      <c r="B34" s="243" t="s">
        <v>188</v>
      </c>
      <c r="C34" s="228">
        <f>682794-114000</f>
        <v>568794</v>
      </c>
      <c r="D34" s="41"/>
      <c r="E34" s="390"/>
      <c r="F34" s="353">
        <f t="shared" si="10"/>
        <v>568794</v>
      </c>
      <c r="G34" s="229">
        <v>0</v>
      </c>
      <c r="H34" s="232">
        <f t="shared" si="9"/>
        <v>0</v>
      </c>
      <c r="I34" s="355">
        <v>0</v>
      </c>
      <c r="J34" s="41">
        <v>0</v>
      </c>
      <c r="K34" s="232">
        <f t="shared" si="11"/>
        <v>0</v>
      </c>
      <c r="L34" s="229">
        <v>0</v>
      </c>
      <c r="M34" s="41">
        <v>0</v>
      </c>
      <c r="N34" s="232">
        <f t="shared" si="12"/>
        <v>0</v>
      </c>
      <c r="O34" s="229">
        <v>0</v>
      </c>
      <c r="P34" s="41">
        <v>0</v>
      </c>
      <c r="Q34" s="41">
        <v>0</v>
      </c>
      <c r="R34" s="232">
        <f t="shared" si="13"/>
        <v>0</v>
      </c>
      <c r="S34" s="229">
        <v>0</v>
      </c>
      <c r="T34" s="41">
        <v>0</v>
      </c>
      <c r="U34" s="41">
        <v>0</v>
      </c>
      <c r="V34" s="232">
        <f t="shared" si="14"/>
        <v>0</v>
      </c>
      <c r="W34" s="229">
        <v>0</v>
      </c>
      <c r="X34" s="232">
        <f t="shared" si="15"/>
        <v>0</v>
      </c>
      <c r="Y34" s="229">
        <v>0</v>
      </c>
      <c r="Z34" s="41">
        <v>0</v>
      </c>
      <c r="AA34" s="232">
        <f t="shared" si="16"/>
        <v>0</v>
      </c>
      <c r="AB34" s="229">
        <v>0</v>
      </c>
      <c r="AC34" s="41">
        <v>0</v>
      </c>
      <c r="AD34" s="232">
        <f t="shared" si="17"/>
        <v>0</v>
      </c>
    </row>
    <row r="35" spans="1:30" x14ac:dyDescent="0.3">
      <c r="A35" s="244" t="s">
        <v>107</v>
      </c>
      <c r="B35" s="243" t="s">
        <v>191</v>
      </c>
      <c r="C35" s="228">
        <v>114000</v>
      </c>
      <c r="D35" s="41"/>
      <c r="E35" s="390"/>
      <c r="F35" s="353">
        <f t="shared" si="10"/>
        <v>114000</v>
      </c>
      <c r="G35" s="229">
        <v>0</v>
      </c>
      <c r="H35" s="232">
        <f t="shared" si="9"/>
        <v>0</v>
      </c>
      <c r="I35" s="355">
        <v>0</v>
      </c>
      <c r="J35" s="41">
        <v>0</v>
      </c>
      <c r="K35" s="232">
        <f t="shared" si="11"/>
        <v>0</v>
      </c>
      <c r="L35" s="229">
        <v>0</v>
      </c>
      <c r="M35" s="41">
        <v>0</v>
      </c>
      <c r="N35" s="232">
        <f t="shared" si="12"/>
        <v>0</v>
      </c>
      <c r="O35" s="229">
        <v>0</v>
      </c>
      <c r="P35" s="41">
        <v>0</v>
      </c>
      <c r="Q35" s="41">
        <v>0</v>
      </c>
      <c r="R35" s="232">
        <f t="shared" si="13"/>
        <v>0</v>
      </c>
      <c r="S35" s="229">
        <v>0</v>
      </c>
      <c r="T35" s="41">
        <v>0</v>
      </c>
      <c r="U35" s="41">
        <v>0</v>
      </c>
      <c r="V35" s="232">
        <f t="shared" si="14"/>
        <v>0</v>
      </c>
      <c r="W35" s="229">
        <v>0</v>
      </c>
      <c r="X35" s="232">
        <f t="shared" si="15"/>
        <v>0</v>
      </c>
      <c r="Y35" s="229">
        <v>0</v>
      </c>
      <c r="Z35" s="41">
        <v>0</v>
      </c>
      <c r="AA35" s="232">
        <f t="shared" si="16"/>
        <v>0</v>
      </c>
      <c r="AB35" s="229">
        <v>0</v>
      </c>
      <c r="AC35" s="41">
        <v>0</v>
      </c>
      <c r="AD35" s="232">
        <f t="shared" si="17"/>
        <v>0</v>
      </c>
    </row>
    <row r="36" spans="1:30" x14ac:dyDescent="0.3">
      <c r="A36" s="244" t="s">
        <v>13</v>
      </c>
      <c r="B36" s="243" t="s">
        <v>114</v>
      </c>
      <c r="C36" s="228">
        <f>+C37+C39+C38</f>
        <v>1578828</v>
      </c>
      <c r="D36" s="41"/>
      <c r="E36" s="390"/>
      <c r="F36" s="353">
        <f t="shared" si="10"/>
        <v>1578828</v>
      </c>
      <c r="G36" s="229">
        <v>6350</v>
      </c>
      <c r="H36" s="232">
        <f t="shared" si="9"/>
        <v>6350</v>
      </c>
      <c r="I36" s="355">
        <v>0</v>
      </c>
      <c r="J36" s="41">
        <f>J37+J38+J39</f>
        <v>0</v>
      </c>
      <c r="K36" s="232">
        <f t="shared" si="11"/>
        <v>0</v>
      </c>
      <c r="L36" s="229">
        <v>0</v>
      </c>
      <c r="M36" s="41">
        <f>M37+M38+M39</f>
        <v>0</v>
      </c>
      <c r="N36" s="232">
        <f t="shared" si="12"/>
        <v>0</v>
      </c>
      <c r="O36" s="229">
        <f>O37+O38+O39</f>
        <v>0</v>
      </c>
      <c r="P36" s="41">
        <f>P37+P38+P39</f>
        <v>0</v>
      </c>
      <c r="Q36" s="41">
        <f>Q37+Q38+Q39</f>
        <v>0</v>
      </c>
      <c r="R36" s="232">
        <f t="shared" si="13"/>
        <v>0</v>
      </c>
      <c r="S36" s="229">
        <f>S37+S38+S39</f>
        <v>0</v>
      </c>
      <c r="T36" s="41">
        <f>T37+T38+T39</f>
        <v>0</v>
      </c>
      <c r="U36" s="41">
        <v>0</v>
      </c>
      <c r="V36" s="232">
        <f t="shared" si="14"/>
        <v>0</v>
      </c>
      <c r="W36" s="229">
        <v>0</v>
      </c>
      <c r="X36" s="232">
        <f t="shared" si="15"/>
        <v>0</v>
      </c>
      <c r="Y36" s="229">
        <f>Y37+Y38+Y39</f>
        <v>0</v>
      </c>
      <c r="Z36" s="41">
        <f>Z37+Z38+Z39</f>
        <v>1575</v>
      </c>
      <c r="AA36" s="232">
        <f t="shared" si="16"/>
        <v>1575</v>
      </c>
      <c r="AB36" s="229">
        <f>AB37+AB38+AB39</f>
        <v>0</v>
      </c>
      <c r="AC36" s="41">
        <f>AC37+AC38+AC39</f>
        <v>0</v>
      </c>
      <c r="AD36" s="232">
        <f t="shared" si="17"/>
        <v>0</v>
      </c>
    </row>
    <row r="37" spans="1:30" x14ac:dyDescent="0.3">
      <c r="A37" s="244" t="s">
        <v>55</v>
      </c>
      <c r="B37" s="243" t="s">
        <v>189</v>
      </c>
      <c r="C37" s="228">
        <v>1453828</v>
      </c>
      <c r="D37" s="41"/>
      <c r="E37" s="390"/>
      <c r="F37" s="353">
        <f t="shared" si="10"/>
        <v>1453828</v>
      </c>
      <c r="G37" s="229">
        <v>6350</v>
      </c>
      <c r="H37" s="232">
        <f t="shared" si="9"/>
        <v>6350</v>
      </c>
      <c r="I37" s="355">
        <v>0</v>
      </c>
      <c r="J37" s="41">
        <v>0</v>
      </c>
      <c r="K37" s="232">
        <f t="shared" si="11"/>
        <v>0</v>
      </c>
      <c r="L37" s="229">
        <v>0</v>
      </c>
      <c r="M37" s="41">
        <v>0</v>
      </c>
      <c r="N37" s="232">
        <f t="shared" si="12"/>
        <v>0</v>
      </c>
      <c r="O37" s="229">
        <v>0</v>
      </c>
      <c r="P37" s="41">
        <v>0</v>
      </c>
      <c r="Q37" s="41">
        <v>0</v>
      </c>
      <c r="R37" s="232">
        <f t="shared" si="13"/>
        <v>0</v>
      </c>
      <c r="S37" s="229">
        <v>0</v>
      </c>
      <c r="T37" s="41">
        <v>0</v>
      </c>
      <c r="U37" s="41">
        <v>0</v>
      </c>
      <c r="V37" s="232">
        <f t="shared" si="14"/>
        <v>0</v>
      </c>
      <c r="W37" s="229">
        <v>0</v>
      </c>
      <c r="X37" s="232">
        <f t="shared" si="15"/>
        <v>0</v>
      </c>
      <c r="Y37" s="229">
        <v>0</v>
      </c>
      <c r="Z37" s="41">
        <v>1575</v>
      </c>
      <c r="AA37" s="232">
        <f t="shared" si="16"/>
        <v>1575</v>
      </c>
      <c r="AB37" s="229">
        <v>0</v>
      </c>
      <c r="AC37" s="41">
        <v>0</v>
      </c>
      <c r="AD37" s="232">
        <f t="shared" si="17"/>
        <v>0</v>
      </c>
    </row>
    <row r="38" spans="1:30" x14ac:dyDescent="0.3">
      <c r="A38" s="244" t="s">
        <v>56</v>
      </c>
      <c r="B38" s="243" t="s">
        <v>11</v>
      </c>
      <c r="C38" s="228">
        <v>125000</v>
      </c>
      <c r="D38" s="182"/>
      <c r="E38" s="389"/>
      <c r="F38" s="353">
        <f t="shared" si="10"/>
        <v>125000</v>
      </c>
      <c r="G38" s="233">
        <v>0</v>
      </c>
      <c r="H38" s="232">
        <f t="shared" si="9"/>
        <v>0</v>
      </c>
      <c r="I38" s="356">
        <v>0</v>
      </c>
      <c r="J38" s="41">
        <v>0</v>
      </c>
      <c r="K38" s="232">
        <f t="shared" si="11"/>
        <v>0</v>
      </c>
      <c r="L38" s="235">
        <v>0</v>
      </c>
      <c r="M38" s="41">
        <v>0</v>
      </c>
      <c r="N38" s="232">
        <f t="shared" si="12"/>
        <v>0</v>
      </c>
      <c r="O38" s="233">
        <v>0</v>
      </c>
      <c r="P38" s="41">
        <v>0</v>
      </c>
      <c r="Q38" s="41">
        <v>0</v>
      </c>
      <c r="R38" s="232">
        <f t="shared" si="13"/>
        <v>0</v>
      </c>
      <c r="S38" s="233">
        <v>0</v>
      </c>
      <c r="T38" s="41">
        <v>0</v>
      </c>
      <c r="U38" s="41">
        <v>0</v>
      </c>
      <c r="V38" s="232">
        <f t="shared" si="14"/>
        <v>0</v>
      </c>
      <c r="W38" s="233">
        <v>0</v>
      </c>
      <c r="X38" s="232">
        <f t="shared" si="15"/>
        <v>0</v>
      </c>
      <c r="Y38" s="233">
        <v>0</v>
      </c>
      <c r="Z38" s="41">
        <v>0</v>
      </c>
      <c r="AA38" s="232">
        <f t="shared" si="16"/>
        <v>0</v>
      </c>
      <c r="AB38" s="233">
        <v>0</v>
      </c>
      <c r="AC38" s="41">
        <v>0</v>
      </c>
      <c r="AD38" s="232">
        <f t="shared" si="17"/>
        <v>0</v>
      </c>
    </row>
    <row r="39" spans="1:30" x14ac:dyDescent="0.3">
      <c r="A39" s="244" t="s">
        <v>65</v>
      </c>
      <c r="B39" s="243" t="s">
        <v>115</v>
      </c>
      <c r="C39" s="228">
        <v>0</v>
      </c>
      <c r="D39" s="41"/>
      <c r="E39" s="390"/>
      <c r="F39" s="353">
        <f t="shared" si="10"/>
        <v>0</v>
      </c>
      <c r="G39" s="229">
        <v>0</v>
      </c>
      <c r="H39" s="232">
        <f t="shared" si="9"/>
        <v>0</v>
      </c>
      <c r="I39" s="355">
        <v>0</v>
      </c>
      <c r="J39" s="41">
        <v>0</v>
      </c>
      <c r="K39" s="232">
        <f t="shared" si="11"/>
        <v>0</v>
      </c>
      <c r="L39" s="229">
        <v>0</v>
      </c>
      <c r="M39" s="41">
        <v>0</v>
      </c>
      <c r="N39" s="232">
        <f t="shared" si="12"/>
        <v>0</v>
      </c>
      <c r="O39" s="229">
        <v>0</v>
      </c>
      <c r="P39" s="41">
        <v>0</v>
      </c>
      <c r="Q39" s="41">
        <v>0</v>
      </c>
      <c r="R39" s="232">
        <f t="shared" si="13"/>
        <v>0</v>
      </c>
      <c r="S39" s="229">
        <v>0</v>
      </c>
      <c r="T39" s="41">
        <v>0</v>
      </c>
      <c r="U39" s="41">
        <v>0</v>
      </c>
      <c r="V39" s="232">
        <f t="shared" si="14"/>
        <v>0</v>
      </c>
      <c r="W39" s="229">
        <v>0</v>
      </c>
      <c r="X39" s="232">
        <f t="shared" si="15"/>
        <v>0</v>
      </c>
      <c r="Y39" s="229">
        <v>0</v>
      </c>
      <c r="Z39" s="41">
        <v>0</v>
      </c>
      <c r="AA39" s="232">
        <f t="shared" si="16"/>
        <v>0</v>
      </c>
      <c r="AB39" s="229">
        <v>0</v>
      </c>
      <c r="AC39" s="41">
        <v>0</v>
      </c>
      <c r="AD39" s="232">
        <f t="shared" si="17"/>
        <v>0</v>
      </c>
    </row>
    <row r="40" spans="1:30" x14ac:dyDescent="0.3">
      <c r="A40" s="244" t="s">
        <v>14</v>
      </c>
      <c r="B40" s="245" t="s">
        <v>116</v>
      </c>
      <c r="C40" s="229">
        <f>C29+C36</f>
        <v>2683188</v>
      </c>
      <c r="D40" s="41">
        <f>D29+D36</f>
        <v>115570</v>
      </c>
      <c r="E40" s="41">
        <f>E29+E36</f>
        <v>14144</v>
      </c>
      <c r="F40" s="353">
        <f t="shared" si="10"/>
        <v>2812902</v>
      </c>
      <c r="G40" s="229">
        <f>G29+G36</f>
        <v>392970</v>
      </c>
      <c r="H40" s="232">
        <f t="shared" si="9"/>
        <v>392970</v>
      </c>
      <c r="I40" s="355">
        <f>I29+I36</f>
        <v>57823</v>
      </c>
      <c r="J40" s="41">
        <f>J29+J36</f>
        <v>7214</v>
      </c>
      <c r="K40" s="232">
        <f t="shared" si="11"/>
        <v>65037</v>
      </c>
      <c r="L40" s="229">
        <f>L29+L36</f>
        <v>98351</v>
      </c>
      <c r="M40" s="41">
        <f>M29+M36</f>
        <v>10160</v>
      </c>
      <c r="N40" s="232">
        <f t="shared" si="12"/>
        <v>108511</v>
      </c>
      <c r="O40" s="229">
        <f>O29+O36</f>
        <v>197326</v>
      </c>
      <c r="P40" s="41">
        <f>P29+P36</f>
        <v>11161</v>
      </c>
      <c r="Q40" s="41">
        <f>Q29+Q36</f>
        <v>48260</v>
      </c>
      <c r="R40" s="232">
        <f t="shared" si="13"/>
        <v>256747</v>
      </c>
      <c r="S40" s="229">
        <f>S29+S36</f>
        <v>141197</v>
      </c>
      <c r="T40" s="41">
        <f>T29+T36</f>
        <v>9626</v>
      </c>
      <c r="U40" s="41">
        <f>U29+U36</f>
        <v>29210</v>
      </c>
      <c r="V40" s="232">
        <f t="shared" si="14"/>
        <v>180033</v>
      </c>
      <c r="W40" s="229">
        <f>W29+W36</f>
        <v>49129</v>
      </c>
      <c r="X40" s="232">
        <f t="shared" si="15"/>
        <v>49129</v>
      </c>
      <c r="Y40" s="229">
        <f>Y29+Y36</f>
        <v>23178</v>
      </c>
      <c r="Z40" s="41">
        <f>Z29+Z36</f>
        <v>1575</v>
      </c>
      <c r="AA40" s="232">
        <f t="shared" si="16"/>
        <v>24753</v>
      </c>
      <c r="AB40" s="229">
        <f>AB29+AB36</f>
        <v>33740</v>
      </c>
      <c r="AC40" s="41">
        <f>AC29+AC36</f>
        <v>28530</v>
      </c>
      <c r="AD40" s="232">
        <f t="shared" si="17"/>
        <v>62270</v>
      </c>
    </row>
    <row r="41" spans="1:30" x14ac:dyDescent="0.3">
      <c r="A41" s="239" t="s">
        <v>15</v>
      </c>
      <c r="B41" s="243" t="s">
        <v>117</v>
      </c>
      <c r="C41" s="228">
        <v>61368</v>
      </c>
      <c r="D41" s="41"/>
      <c r="E41" s="390"/>
      <c r="F41" s="353">
        <f t="shared" si="10"/>
        <v>61368</v>
      </c>
      <c r="G41" s="229">
        <v>0</v>
      </c>
      <c r="H41" s="232">
        <f t="shared" si="9"/>
        <v>0</v>
      </c>
      <c r="I41" s="355">
        <v>0</v>
      </c>
      <c r="J41" s="41">
        <v>0</v>
      </c>
      <c r="K41" s="232">
        <f t="shared" si="11"/>
        <v>0</v>
      </c>
      <c r="L41" s="229">
        <v>0</v>
      </c>
      <c r="M41" s="41">
        <v>0</v>
      </c>
      <c r="N41" s="232">
        <f t="shared" si="12"/>
        <v>0</v>
      </c>
      <c r="O41" s="229">
        <v>0</v>
      </c>
      <c r="P41" s="41">
        <v>0</v>
      </c>
      <c r="Q41" s="41">
        <v>0</v>
      </c>
      <c r="R41" s="232">
        <f t="shared" si="13"/>
        <v>0</v>
      </c>
      <c r="S41" s="229">
        <v>0</v>
      </c>
      <c r="T41" s="41">
        <v>0</v>
      </c>
      <c r="U41" s="41">
        <v>0</v>
      </c>
      <c r="V41" s="232">
        <f t="shared" si="14"/>
        <v>0</v>
      </c>
      <c r="W41" s="229">
        <v>0</v>
      </c>
      <c r="X41" s="232">
        <f t="shared" si="15"/>
        <v>0</v>
      </c>
      <c r="Y41" s="229">
        <v>0</v>
      </c>
      <c r="Z41" s="41">
        <v>0</v>
      </c>
      <c r="AA41" s="232">
        <f t="shared" si="16"/>
        <v>0</v>
      </c>
      <c r="AB41" s="229">
        <v>0</v>
      </c>
      <c r="AC41" s="41">
        <v>0</v>
      </c>
      <c r="AD41" s="232">
        <f t="shared" si="17"/>
        <v>0</v>
      </c>
    </row>
    <row r="42" spans="1:30" x14ac:dyDescent="0.3">
      <c r="A42" s="239" t="s">
        <v>16</v>
      </c>
      <c r="B42" s="243" t="s">
        <v>414</v>
      </c>
      <c r="C42" s="228">
        <v>32301</v>
      </c>
      <c r="D42" s="41"/>
      <c r="E42" s="390"/>
      <c r="F42" s="353">
        <f t="shared" si="10"/>
        <v>32301</v>
      </c>
      <c r="G42" s="229">
        <v>0</v>
      </c>
      <c r="H42" s="232">
        <f t="shared" si="9"/>
        <v>0</v>
      </c>
      <c r="I42" s="355">
        <v>0</v>
      </c>
      <c r="J42" s="41">
        <v>0</v>
      </c>
      <c r="K42" s="232">
        <f t="shared" si="11"/>
        <v>0</v>
      </c>
      <c r="L42" s="229">
        <v>0</v>
      </c>
      <c r="M42" s="41">
        <v>0</v>
      </c>
      <c r="N42" s="232">
        <f t="shared" si="12"/>
        <v>0</v>
      </c>
      <c r="O42" s="229">
        <v>0</v>
      </c>
      <c r="P42" s="41">
        <v>0</v>
      </c>
      <c r="Q42" s="41">
        <v>0</v>
      </c>
      <c r="R42" s="232">
        <f t="shared" si="13"/>
        <v>0</v>
      </c>
      <c r="S42" s="229">
        <v>0</v>
      </c>
      <c r="T42" s="41">
        <v>0</v>
      </c>
      <c r="U42" s="41">
        <v>0</v>
      </c>
      <c r="V42" s="232">
        <f t="shared" si="14"/>
        <v>0</v>
      </c>
      <c r="W42" s="229">
        <v>0</v>
      </c>
      <c r="X42" s="232">
        <f t="shared" si="15"/>
        <v>0</v>
      </c>
      <c r="Y42" s="229">
        <v>0</v>
      </c>
      <c r="Z42" s="41">
        <v>0</v>
      </c>
      <c r="AA42" s="232">
        <f t="shared" si="16"/>
        <v>0</v>
      </c>
      <c r="AB42" s="229">
        <v>0</v>
      </c>
      <c r="AC42" s="41">
        <v>0</v>
      </c>
      <c r="AD42" s="232">
        <f t="shared" si="17"/>
        <v>0</v>
      </c>
    </row>
    <row r="43" spans="1:30" x14ac:dyDescent="0.3">
      <c r="A43" s="239" t="s">
        <v>17</v>
      </c>
      <c r="B43" s="243" t="s">
        <v>190</v>
      </c>
      <c r="C43" s="228">
        <v>1080936</v>
      </c>
      <c r="D43" s="41"/>
      <c r="E43" s="390"/>
      <c r="F43" s="353">
        <f t="shared" si="10"/>
        <v>1080936</v>
      </c>
      <c r="G43" s="229">
        <v>0</v>
      </c>
      <c r="H43" s="232">
        <f t="shared" si="9"/>
        <v>0</v>
      </c>
      <c r="I43" s="355">
        <v>0</v>
      </c>
      <c r="J43" s="41">
        <v>0</v>
      </c>
      <c r="K43" s="232">
        <f t="shared" si="11"/>
        <v>0</v>
      </c>
      <c r="L43" s="229">
        <v>0</v>
      </c>
      <c r="M43" s="41">
        <v>0</v>
      </c>
      <c r="N43" s="232">
        <f t="shared" si="12"/>
        <v>0</v>
      </c>
      <c r="O43" s="229">
        <v>0</v>
      </c>
      <c r="P43" s="41">
        <v>0</v>
      </c>
      <c r="Q43" s="41">
        <v>0</v>
      </c>
      <c r="R43" s="232">
        <f t="shared" si="13"/>
        <v>0</v>
      </c>
      <c r="S43" s="229">
        <v>0</v>
      </c>
      <c r="T43" s="41">
        <v>0</v>
      </c>
      <c r="U43" s="41">
        <v>0</v>
      </c>
      <c r="V43" s="232">
        <f t="shared" si="14"/>
        <v>0</v>
      </c>
      <c r="W43" s="229">
        <v>0</v>
      </c>
      <c r="X43" s="232">
        <f t="shared" si="15"/>
        <v>0</v>
      </c>
      <c r="Y43" s="229">
        <v>0</v>
      </c>
      <c r="Z43" s="41">
        <v>0</v>
      </c>
      <c r="AA43" s="232">
        <f t="shared" si="16"/>
        <v>0</v>
      </c>
      <c r="AB43" s="229">
        <v>0</v>
      </c>
      <c r="AC43" s="41">
        <v>0</v>
      </c>
      <c r="AD43" s="232">
        <f t="shared" si="17"/>
        <v>0</v>
      </c>
    </row>
    <row r="44" spans="1:30" x14ac:dyDescent="0.3">
      <c r="A44" s="239"/>
      <c r="B44" s="243" t="s">
        <v>247</v>
      </c>
      <c r="C44" s="228">
        <v>1080936</v>
      </c>
      <c r="D44" s="41"/>
      <c r="E44" s="390"/>
      <c r="F44" s="353">
        <f t="shared" si="10"/>
        <v>1080936</v>
      </c>
      <c r="G44" s="229">
        <v>0</v>
      </c>
      <c r="H44" s="232">
        <f t="shared" si="9"/>
        <v>0</v>
      </c>
      <c r="I44" s="355">
        <v>0</v>
      </c>
      <c r="J44" s="41">
        <v>0</v>
      </c>
      <c r="K44" s="232">
        <f t="shared" si="11"/>
        <v>0</v>
      </c>
      <c r="L44" s="229">
        <v>0</v>
      </c>
      <c r="M44" s="41">
        <v>0</v>
      </c>
      <c r="N44" s="232">
        <f t="shared" si="12"/>
        <v>0</v>
      </c>
      <c r="O44" s="229">
        <v>0</v>
      </c>
      <c r="P44" s="41">
        <v>0</v>
      </c>
      <c r="Q44" s="41">
        <v>0</v>
      </c>
      <c r="R44" s="232">
        <f t="shared" si="13"/>
        <v>0</v>
      </c>
      <c r="S44" s="229">
        <v>0</v>
      </c>
      <c r="T44" s="41">
        <v>0</v>
      </c>
      <c r="U44" s="41">
        <v>0</v>
      </c>
      <c r="V44" s="232">
        <f t="shared" si="14"/>
        <v>0</v>
      </c>
      <c r="W44" s="229">
        <v>0</v>
      </c>
      <c r="X44" s="232">
        <f t="shared" si="15"/>
        <v>0</v>
      </c>
      <c r="Y44" s="229">
        <v>0</v>
      </c>
      <c r="Z44" s="41">
        <v>0</v>
      </c>
      <c r="AA44" s="232">
        <f t="shared" si="16"/>
        <v>0</v>
      </c>
      <c r="AB44" s="229">
        <v>0</v>
      </c>
      <c r="AC44" s="41">
        <v>0</v>
      </c>
      <c r="AD44" s="232">
        <f t="shared" si="17"/>
        <v>0</v>
      </c>
    </row>
    <row r="45" spans="1:30" x14ac:dyDescent="0.3">
      <c r="A45" s="246"/>
      <c r="B45" s="243" t="s">
        <v>121</v>
      </c>
      <c r="C45" s="228">
        <v>0</v>
      </c>
      <c r="D45" s="41"/>
      <c r="E45" s="390"/>
      <c r="F45" s="353">
        <f t="shared" si="10"/>
        <v>0</v>
      </c>
      <c r="G45" s="229">
        <v>0</v>
      </c>
      <c r="H45" s="232">
        <f t="shared" si="9"/>
        <v>0</v>
      </c>
      <c r="I45" s="355">
        <v>0</v>
      </c>
      <c r="J45" s="41">
        <v>0</v>
      </c>
      <c r="K45" s="232">
        <f t="shared" si="11"/>
        <v>0</v>
      </c>
      <c r="L45" s="229">
        <v>0</v>
      </c>
      <c r="M45" s="41">
        <v>0</v>
      </c>
      <c r="N45" s="232">
        <f t="shared" si="12"/>
        <v>0</v>
      </c>
      <c r="O45" s="229">
        <v>0</v>
      </c>
      <c r="P45" s="41">
        <v>0</v>
      </c>
      <c r="Q45" s="41">
        <v>0</v>
      </c>
      <c r="R45" s="232">
        <f t="shared" si="13"/>
        <v>0</v>
      </c>
      <c r="S45" s="229">
        <v>0</v>
      </c>
      <c r="T45" s="41">
        <v>0</v>
      </c>
      <c r="U45" s="41">
        <v>0</v>
      </c>
      <c r="V45" s="232">
        <f t="shared" si="14"/>
        <v>0</v>
      </c>
      <c r="W45" s="229">
        <v>0</v>
      </c>
      <c r="X45" s="232">
        <f t="shared" si="15"/>
        <v>0</v>
      </c>
      <c r="Y45" s="229">
        <v>0</v>
      </c>
      <c r="Z45" s="41">
        <v>0</v>
      </c>
      <c r="AA45" s="232">
        <f t="shared" si="16"/>
        <v>0</v>
      </c>
      <c r="AB45" s="229">
        <v>0</v>
      </c>
      <c r="AC45" s="41">
        <v>0</v>
      </c>
      <c r="AD45" s="232">
        <f t="shared" si="17"/>
        <v>0</v>
      </c>
    </row>
    <row r="46" spans="1:30" x14ac:dyDescent="0.3">
      <c r="A46" s="239" t="s">
        <v>18</v>
      </c>
      <c r="B46" s="245" t="s">
        <v>122</v>
      </c>
      <c r="C46" s="229">
        <f>C41+C42+C43+C45</f>
        <v>1174605</v>
      </c>
      <c r="D46" s="41"/>
      <c r="E46" s="390"/>
      <c r="F46" s="353">
        <f t="shared" si="10"/>
        <v>1174605</v>
      </c>
      <c r="G46" s="229">
        <f>G41+G42+G43+G45</f>
        <v>0</v>
      </c>
      <c r="H46" s="232">
        <f t="shared" si="9"/>
        <v>0</v>
      </c>
      <c r="I46" s="355">
        <f>I41+I42+I43+I45</f>
        <v>0</v>
      </c>
      <c r="J46" s="41">
        <f>J41+J42+J43+J45</f>
        <v>0</v>
      </c>
      <c r="K46" s="232">
        <f t="shared" si="11"/>
        <v>0</v>
      </c>
      <c r="L46" s="229">
        <f>L41+L42+L43+L45</f>
        <v>0</v>
      </c>
      <c r="M46" s="41">
        <f>M41+M42+M43+M45</f>
        <v>0</v>
      </c>
      <c r="N46" s="232">
        <f t="shared" si="12"/>
        <v>0</v>
      </c>
      <c r="O46" s="229">
        <f>O41+O42+O43+O45</f>
        <v>0</v>
      </c>
      <c r="P46" s="41">
        <f>P41+P42+P43+P45</f>
        <v>0</v>
      </c>
      <c r="Q46" s="41">
        <f>Q41+Q42+Q43+Q45</f>
        <v>0</v>
      </c>
      <c r="R46" s="232">
        <f t="shared" si="13"/>
        <v>0</v>
      </c>
      <c r="S46" s="229">
        <f>S41+S42+S43+S45</f>
        <v>0</v>
      </c>
      <c r="T46" s="41">
        <f>T41+T42+T43+T45</f>
        <v>0</v>
      </c>
      <c r="U46" s="41">
        <f>U41+U42+U43+U45</f>
        <v>0</v>
      </c>
      <c r="V46" s="232">
        <f t="shared" si="14"/>
        <v>0</v>
      </c>
      <c r="W46" s="229">
        <f>W41+W42+W43+W45</f>
        <v>0</v>
      </c>
      <c r="X46" s="232">
        <f t="shared" si="15"/>
        <v>0</v>
      </c>
      <c r="Y46" s="229">
        <f>Y41+Y42+Y43+Y45</f>
        <v>0</v>
      </c>
      <c r="Z46" s="41">
        <f>Z41+Z42+Z43+Z45</f>
        <v>0</v>
      </c>
      <c r="AA46" s="232">
        <f t="shared" si="16"/>
        <v>0</v>
      </c>
      <c r="AB46" s="229">
        <f>AB41+AB42+AB43+AB45</f>
        <v>0</v>
      </c>
      <c r="AC46" s="41">
        <f>AC41+AC42+AC43+AC45</f>
        <v>0</v>
      </c>
      <c r="AD46" s="232">
        <f t="shared" si="17"/>
        <v>0</v>
      </c>
    </row>
    <row r="47" spans="1:30" ht="22.2" thickBot="1" x14ac:dyDescent="0.35">
      <c r="A47" s="241" t="s">
        <v>19</v>
      </c>
      <c r="B47" s="247" t="s">
        <v>123</v>
      </c>
      <c r="C47" s="230">
        <f>C40+C46</f>
        <v>3857793</v>
      </c>
      <c r="D47" s="231">
        <f>D40+D46</f>
        <v>115570</v>
      </c>
      <c r="E47" s="231">
        <f>E40+E46</f>
        <v>14144</v>
      </c>
      <c r="F47" s="353">
        <f t="shared" si="10"/>
        <v>3987507</v>
      </c>
      <c r="G47" s="230">
        <f>G40+G46</f>
        <v>392970</v>
      </c>
      <c r="H47" s="234">
        <f t="shared" si="9"/>
        <v>392970</v>
      </c>
      <c r="I47" s="357">
        <f>I40+I46</f>
        <v>57823</v>
      </c>
      <c r="J47" s="231">
        <f>J40+J46</f>
        <v>7214</v>
      </c>
      <c r="K47" s="234">
        <f t="shared" si="11"/>
        <v>65037</v>
      </c>
      <c r="L47" s="230">
        <f>L40+L46</f>
        <v>98351</v>
      </c>
      <c r="M47" s="231">
        <f>M40+M46</f>
        <v>10160</v>
      </c>
      <c r="N47" s="234">
        <f t="shared" si="12"/>
        <v>108511</v>
      </c>
      <c r="O47" s="230">
        <f>O40+O46</f>
        <v>197326</v>
      </c>
      <c r="P47" s="231">
        <f>P40+P46</f>
        <v>11161</v>
      </c>
      <c r="Q47" s="231">
        <f>Q40+Q46</f>
        <v>48260</v>
      </c>
      <c r="R47" s="234">
        <f t="shared" si="13"/>
        <v>256747</v>
      </c>
      <c r="S47" s="230">
        <f>S40+S46</f>
        <v>141197</v>
      </c>
      <c r="T47" s="231">
        <f>T40+T46</f>
        <v>9626</v>
      </c>
      <c r="U47" s="231">
        <f>U40+U46</f>
        <v>29210</v>
      </c>
      <c r="V47" s="234">
        <f t="shared" si="14"/>
        <v>180033</v>
      </c>
      <c r="W47" s="230">
        <f>W40+W46</f>
        <v>49129</v>
      </c>
      <c r="X47" s="234">
        <f t="shared" si="15"/>
        <v>49129</v>
      </c>
      <c r="Y47" s="230">
        <f>Y40+Y46</f>
        <v>23178</v>
      </c>
      <c r="Z47" s="231">
        <f>Z40+Z46</f>
        <v>1575</v>
      </c>
      <c r="AA47" s="234">
        <f t="shared" si="16"/>
        <v>24753</v>
      </c>
      <c r="AB47" s="230">
        <f>AB40+AB46</f>
        <v>33740</v>
      </c>
      <c r="AC47" s="231">
        <f>AC40+AC46</f>
        <v>28530</v>
      </c>
      <c r="AD47" s="234">
        <f t="shared" si="17"/>
        <v>62270</v>
      </c>
    </row>
    <row r="48" spans="1:30" x14ac:dyDescent="0.3">
      <c r="F48" s="17">
        <f>+F24-F47</f>
        <v>0</v>
      </c>
      <c r="H48" s="17">
        <f t="shared" ref="H48:N48" si="18">+H24-H47</f>
        <v>0</v>
      </c>
      <c r="I48" s="17">
        <f t="shared" si="18"/>
        <v>0</v>
      </c>
      <c r="J48" s="17">
        <f t="shared" si="18"/>
        <v>0</v>
      </c>
      <c r="K48" s="17">
        <f t="shared" si="18"/>
        <v>0</v>
      </c>
      <c r="L48" s="17">
        <f t="shared" si="18"/>
        <v>0</v>
      </c>
      <c r="M48" s="17">
        <f t="shared" si="18"/>
        <v>0</v>
      </c>
      <c r="N48" s="17">
        <f t="shared" si="18"/>
        <v>0</v>
      </c>
      <c r="O48" s="17">
        <f>+O47-O24</f>
        <v>0</v>
      </c>
      <c r="P48" s="17">
        <f>+P47-P24</f>
        <v>0</v>
      </c>
      <c r="Q48" s="17">
        <f>+Q47-Q24</f>
        <v>0</v>
      </c>
      <c r="R48" s="17">
        <f>+R24-R47</f>
        <v>0</v>
      </c>
      <c r="S48" s="17">
        <f>+S47-S24</f>
        <v>0</v>
      </c>
      <c r="T48" s="17">
        <f>+T47-T24</f>
        <v>0</v>
      </c>
      <c r="U48" s="17">
        <f>+U47-U24</f>
        <v>0</v>
      </c>
      <c r="V48" s="17">
        <f>+V24-V47</f>
        <v>0</v>
      </c>
      <c r="X48" s="17">
        <f t="shared" ref="X48:AD48" si="19">+X24-X47</f>
        <v>0</v>
      </c>
      <c r="Y48" s="17">
        <f t="shared" si="19"/>
        <v>0</v>
      </c>
      <c r="Z48" s="17">
        <f t="shared" si="19"/>
        <v>0</v>
      </c>
      <c r="AA48" s="17">
        <f t="shared" si="19"/>
        <v>0</v>
      </c>
      <c r="AB48" s="17">
        <f t="shared" si="19"/>
        <v>0</v>
      </c>
      <c r="AC48" s="17">
        <f t="shared" si="19"/>
        <v>0</v>
      </c>
      <c r="AD48" s="17">
        <f t="shared" si="19"/>
        <v>0</v>
      </c>
    </row>
    <row r="49" spans="7:8" x14ac:dyDescent="0.3">
      <c r="G49" s="67"/>
    </row>
    <row r="50" spans="7:8" x14ac:dyDescent="0.3">
      <c r="G50" s="25"/>
    </row>
    <row r="51" spans="7:8" x14ac:dyDescent="0.3">
      <c r="G51" s="59"/>
      <c r="H51" s="59"/>
    </row>
    <row r="52" spans="7:8" x14ac:dyDescent="0.3">
      <c r="G52" s="59"/>
      <c r="H52" s="59"/>
    </row>
    <row r="53" spans="7:8" x14ac:dyDescent="0.3">
      <c r="G53" s="59"/>
      <c r="H53" s="59"/>
    </row>
    <row r="54" spans="7:8" x14ac:dyDescent="0.3">
      <c r="G54" s="62"/>
      <c r="H54" s="216"/>
    </row>
    <row r="55" spans="7:8" x14ac:dyDescent="0.3">
      <c r="G55" s="63"/>
      <c r="H55" s="63"/>
    </row>
    <row r="56" spans="7:8" x14ac:dyDescent="0.3">
      <c r="G56" s="63"/>
      <c r="H56" s="63"/>
    </row>
    <row r="57" spans="7:8" x14ac:dyDescent="0.3">
      <c r="G57" s="63"/>
      <c r="H57" s="63"/>
    </row>
    <row r="58" spans="7:8" x14ac:dyDescent="0.3">
      <c r="G58" s="63"/>
      <c r="H58" s="63"/>
    </row>
    <row r="59" spans="7:8" x14ac:dyDescent="0.3">
      <c r="G59" s="63"/>
      <c r="H59" s="63"/>
    </row>
    <row r="60" spans="7:8" x14ac:dyDescent="0.3">
      <c r="G60" s="63"/>
      <c r="H60" s="63"/>
    </row>
    <row r="61" spans="7:8" x14ac:dyDescent="0.3">
      <c r="G61" s="63"/>
      <c r="H61" s="63"/>
    </row>
    <row r="62" spans="7:8" x14ac:dyDescent="0.3">
      <c r="G62" s="63"/>
      <c r="H62" s="63"/>
    </row>
    <row r="63" spans="7:8" x14ac:dyDescent="0.3">
      <c r="G63" s="63"/>
      <c r="H63" s="63"/>
    </row>
    <row r="64" spans="7:8" x14ac:dyDescent="0.3">
      <c r="G64" s="63"/>
      <c r="H64" s="63"/>
    </row>
    <row r="65" spans="7:8" x14ac:dyDescent="0.3">
      <c r="G65" s="63"/>
      <c r="H65" s="63"/>
    </row>
    <row r="66" spans="7:8" x14ac:dyDescent="0.3">
      <c r="G66" s="67"/>
      <c r="H66" s="67"/>
    </row>
    <row r="67" spans="7:8" x14ac:dyDescent="0.3">
      <c r="G67" s="67"/>
      <c r="H67" s="67"/>
    </row>
    <row r="68" spans="7:8" x14ac:dyDescent="0.3">
      <c r="G68" s="66"/>
      <c r="H68" s="66"/>
    </row>
    <row r="69" spans="7:8" x14ac:dyDescent="0.3">
      <c r="G69" s="214"/>
      <c r="H69" s="215"/>
    </row>
    <row r="70" spans="7:8" x14ac:dyDescent="0.3">
      <c r="G70" s="214"/>
      <c r="H70" s="50"/>
    </row>
    <row r="71" spans="7:8" x14ac:dyDescent="0.3">
      <c r="G71" s="216"/>
      <c r="H71" s="216"/>
    </row>
    <row r="72" spans="7:8" x14ac:dyDescent="0.3">
      <c r="G72" s="55"/>
      <c r="H72" s="217"/>
    </row>
    <row r="73" spans="7:8" x14ac:dyDescent="0.3">
      <c r="G73" s="57"/>
      <c r="H73" s="57"/>
    </row>
    <row r="74" spans="7:8" x14ac:dyDescent="0.3">
      <c r="G74" s="59"/>
      <c r="H74" s="59"/>
    </row>
    <row r="75" spans="7:8" x14ac:dyDescent="0.3">
      <c r="G75" s="59"/>
      <c r="H75" s="59"/>
    </row>
    <row r="76" spans="7:8" x14ac:dyDescent="0.3">
      <c r="G76" s="59"/>
      <c r="H76" s="59"/>
    </row>
    <row r="77" spans="7:8" x14ac:dyDescent="0.3">
      <c r="G77" s="59"/>
      <c r="H77" s="59"/>
    </row>
    <row r="78" spans="7:8" x14ac:dyDescent="0.3">
      <c r="G78" s="59"/>
      <c r="H78" s="59"/>
    </row>
    <row r="79" spans="7:8" x14ac:dyDescent="0.3">
      <c r="G79" s="59"/>
      <c r="H79" s="59"/>
    </row>
    <row r="80" spans="7:8" x14ac:dyDescent="0.3">
      <c r="G80" s="59"/>
      <c r="H80" s="59"/>
    </row>
    <row r="81" spans="7:8" x14ac:dyDescent="0.3">
      <c r="G81" s="59"/>
      <c r="H81" s="59"/>
    </row>
    <row r="82" spans="7:8" x14ac:dyDescent="0.3">
      <c r="G82" s="62"/>
      <c r="H82" s="216"/>
    </row>
    <row r="83" spans="7:8" x14ac:dyDescent="0.3">
      <c r="G83" s="63"/>
      <c r="H83" s="63"/>
    </row>
    <row r="84" spans="7:8" x14ac:dyDescent="0.3">
      <c r="G84" s="63"/>
      <c r="H84" s="63"/>
    </row>
    <row r="85" spans="7:8" x14ac:dyDescent="0.3">
      <c r="G85" s="63"/>
      <c r="H85" s="63"/>
    </row>
    <row r="86" spans="7:8" x14ac:dyDescent="0.3">
      <c r="G86" s="63"/>
      <c r="H86" s="63"/>
    </row>
    <row r="87" spans="7:8" x14ac:dyDescent="0.3">
      <c r="G87" s="63"/>
      <c r="H87" s="63"/>
    </row>
    <row r="88" spans="7:8" x14ac:dyDescent="0.3">
      <c r="G88" s="63"/>
      <c r="H88" s="63"/>
    </row>
    <row r="89" spans="7:8" x14ac:dyDescent="0.3">
      <c r="G89" s="63"/>
      <c r="H89" s="63"/>
    </row>
    <row r="90" spans="7:8" x14ac:dyDescent="0.3">
      <c r="G90" s="63"/>
      <c r="H90" s="63"/>
    </row>
    <row r="91" spans="7:8" x14ac:dyDescent="0.3">
      <c r="G91" s="63"/>
      <c r="H91" s="63"/>
    </row>
    <row r="92" spans="7:8" x14ac:dyDescent="0.3">
      <c r="G92" s="63"/>
      <c r="H92" s="63"/>
    </row>
    <row r="93" spans="7:8" x14ac:dyDescent="0.3">
      <c r="G93" s="63"/>
      <c r="H93" s="63"/>
    </row>
    <row r="94" spans="7:8" x14ac:dyDescent="0.3">
      <c r="G94" s="214"/>
      <c r="H94" s="215"/>
    </row>
    <row r="95" spans="7:8" x14ac:dyDescent="0.3">
      <c r="G95" s="214"/>
      <c r="H95" s="50"/>
    </row>
    <row r="96" spans="7:8" x14ac:dyDescent="0.3">
      <c r="G96" s="216"/>
      <c r="H96" s="216"/>
    </row>
    <row r="97" spans="7:8" x14ac:dyDescent="0.3">
      <c r="G97" s="55"/>
      <c r="H97" s="217"/>
    </row>
    <row r="98" spans="7:8" x14ac:dyDescent="0.3">
      <c r="G98" s="57"/>
      <c r="H98" s="57"/>
    </row>
    <row r="99" spans="7:8" x14ac:dyDescent="0.3">
      <c r="G99" s="59"/>
      <c r="H99" s="59"/>
    </row>
    <row r="100" spans="7:8" x14ac:dyDescent="0.3">
      <c r="G100" s="59"/>
      <c r="H100" s="59"/>
    </row>
    <row r="101" spans="7:8" x14ac:dyDescent="0.3">
      <c r="G101" s="59"/>
      <c r="H101" s="59"/>
    </row>
    <row r="102" spans="7:8" x14ac:dyDescent="0.3">
      <c r="G102" s="59"/>
      <c r="H102" s="59"/>
    </row>
    <row r="103" spans="7:8" x14ac:dyDescent="0.3">
      <c r="G103" s="59"/>
      <c r="H103" s="59"/>
    </row>
    <row r="104" spans="7:8" x14ac:dyDescent="0.3">
      <c r="G104" s="59"/>
      <c r="H104" s="59"/>
    </row>
    <row r="105" spans="7:8" x14ac:dyDescent="0.3">
      <c r="G105" s="59"/>
      <c r="H105" s="59"/>
    </row>
    <row r="106" spans="7:8" x14ac:dyDescent="0.3">
      <c r="G106" s="59"/>
      <c r="H106" s="59"/>
    </row>
    <row r="107" spans="7:8" x14ac:dyDescent="0.3">
      <c r="G107" s="62"/>
      <c r="H107" s="216"/>
    </row>
    <row r="108" spans="7:8" x14ac:dyDescent="0.3">
      <c r="G108" s="63"/>
      <c r="H108" s="63"/>
    </row>
    <row r="109" spans="7:8" x14ac:dyDescent="0.3">
      <c r="G109" s="63"/>
      <c r="H109" s="63"/>
    </row>
    <row r="110" spans="7:8" x14ac:dyDescent="0.3">
      <c r="G110" s="63"/>
      <c r="H110" s="63"/>
    </row>
    <row r="111" spans="7:8" x14ac:dyDescent="0.3">
      <c r="G111" s="63"/>
      <c r="H111" s="63"/>
    </row>
    <row r="112" spans="7:8" x14ac:dyDescent="0.3">
      <c r="G112" s="63"/>
      <c r="H112" s="63"/>
    </row>
    <row r="113" spans="7:8" x14ac:dyDescent="0.3">
      <c r="G113" s="63"/>
      <c r="H113" s="63"/>
    </row>
    <row r="114" spans="7:8" x14ac:dyDescent="0.3">
      <c r="G114" s="63"/>
      <c r="H114" s="63"/>
    </row>
    <row r="115" spans="7:8" x14ac:dyDescent="0.3">
      <c r="G115" s="63"/>
      <c r="H115" s="63"/>
    </row>
    <row r="116" spans="7:8" x14ac:dyDescent="0.3">
      <c r="G116" s="63"/>
      <c r="H116" s="63"/>
    </row>
    <row r="117" spans="7:8" x14ac:dyDescent="0.3">
      <c r="G117" s="63"/>
      <c r="H117" s="63"/>
    </row>
    <row r="118" spans="7:8" x14ac:dyDescent="0.3">
      <c r="G118" s="63"/>
      <c r="H118" s="63"/>
    </row>
    <row r="119" spans="7:8" x14ac:dyDescent="0.3">
      <c r="G119" s="66"/>
      <c r="H119" s="66"/>
    </row>
    <row r="120" spans="7:8" x14ac:dyDescent="0.3">
      <c r="G120" s="66"/>
      <c r="H120" s="66"/>
    </row>
    <row r="121" spans="7:8" x14ac:dyDescent="0.3">
      <c r="G121" s="66"/>
      <c r="H121" s="66"/>
    </row>
    <row r="122" spans="7:8" x14ac:dyDescent="0.3">
      <c r="G122" s="214"/>
      <c r="H122" s="215"/>
    </row>
    <row r="123" spans="7:8" x14ac:dyDescent="0.3">
      <c r="G123" s="214"/>
      <c r="H123" s="50"/>
    </row>
    <row r="124" spans="7:8" x14ac:dyDescent="0.3">
      <c r="G124" s="216"/>
      <c r="H124" s="216"/>
    </row>
    <row r="125" spans="7:8" x14ac:dyDescent="0.3">
      <c r="G125" s="55"/>
      <c r="H125" s="217"/>
    </row>
    <row r="126" spans="7:8" x14ac:dyDescent="0.3">
      <c r="G126" s="57"/>
      <c r="H126" s="57"/>
    </row>
    <row r="127" spans="7:8" x14ac:dyDescent="0.3">
      <c r="G127" s="59"/>
      <c r="H127" s="59"/>
    </row>
    <row r="128" spans="7:8" x14ac:dyDescent="0.3">
      <c r="G128" s="59"/>
      <c r="H128" s="59"/>
    </row>
    <row r="129" spans="7:8" x14ac:dyDescent="0.3">
      <c r="G129" s="59"/>
      <c r="H129" s="59"/>
    </row>
    <row r="130" spans="7:8" x14ac:dyDescent="0.3">
      <c r="G130" s="59"/>
      <c r="H130" s="59"/>
    </row>
    <row r="131" spans="7:8" x14ac:dyDescent="0.3">
      <c r="G131" s="59"/>
      <c r="H131" s="59"/>
    </row>
    <row r="132" spans="7:8" x14ac:dyDescent="0.3">
      <c r="G132" s="59"/>
      <c r="H132" s="59"/>
    </row>
    <row r="133" spans="7:8" x14ac:dyDescent="0.3">
      <c r="G133" s="59"/>
      <c r="H133" s="59"/>
    </row>
    <row r="134" spans="7:8" x14ac:dyDescent="0.3">
      <c r="G134" s="59"/>
      <c r="H134" s="59"/>
    </row>
    <row r="135" spans="7:8" x14ac:dyDescent="0.3">
      <c r="G135" s="62"/>
      <c r="H135" s="216"/>
    </row>
    <row r="136" spans="7:8" x14ac:dyDescent="0.3">
      <c r="G136" s="63"/>
      <c r="H136" s="63"/>
    </row>
    <row r="137" spans="7:8" x14ac:dyDescent="0.3">
      <c r="G137" s="63"/>
      <c r="H137" s="63"/>
    </row>
    <row r="138" spans="7:8" x14ac:dyDescent="0.3">
      <c r="G138" s="63"/>
      <c r="H138" s="63"/>
    </row>
    <row r="139" spans="7:8" x14ac:dyDescent="0.3">
      <c r="G139" s="63"/>
      <c r="H139" s="63"/>
    </row>
    <row r="140" spans="7:8" x14ac:dyDescent="0.3">
      <c r="G140" s="63"/>
      <c r="H140" s="63"/>
    </row>
    <row r="141" spans="7:8" x14ac:dyDescent="0.3">
      <c r="G141" s="63"/>
      <c r="H141" s="63"/>
    </row>
    <row r="142" spans="7:8" x14ac:dyDescent="0.3">
      <c r="G142" s="63"/>
      <c r="H142" s="63"/>
    </row>
    <row r="143" spans="7:8" x14ac:dyDescent="0.3">
      <c r="G143" s="63"/>
      <c r="H143" s="63"/>
    </row>
    <row r="144" spans="7:8" x14ac:dyDescent="0.3">
      <c r="G144" s="63"/>
      <c r="H144" s="63"/>
    </row>
    <row r="145" spans="7:8" x14ac:dyDescent="0.3">
      <c r="G145" s="63"/>
      <c r="H145" s="63"/>
    </row>
    <row r="146" spans="7:8" x14ac:dyDescent="0.3">
      <c r="G146" s="63"/>
      <c r="H146" s="63"/>
    </row>
    <row r="147" spans="7:8" x14ac:dyDescent="0.3">
      <c r="G147" s="214"/>
      <c r="H147" s="215"/>
    </row>
    <row r="148" spans="7:8" x14ac:dyDescent="0.3">
      <c r="G148" s="214"/>
      <c r="H148" s="50"/>
    </row>
    <row r="149" spans="7:8" x14ac:dyDescent="0.3">
      <c r="G149" s="216"/>
      <c r="H149" s="216"/>
    </row>
    <row r="150" spans="7:8" x14ac:dyDescent="0.3">
      <c r="G150" s="55"/>
      <c r="H150" s="217"/>
    </row>
    <row r="151" spans="7:8" x14ac:dyDescent="0.3">
      <c r="G151" s="57"/>
      <c r="H151" s="57"/>
    </row>
    <row r="152" spans="7:8" x14ac:dyDescent="0.3">
      <c r="G152" s="59"/>
      <c r="H152" s="59"/>
    </row>
    <row r="153" spans="7:8" x14ac:dyDescent="0.3">
      <c r="G153" s="59"/>
      <c r="H153" s="59"/>
    </row>
    <row r="154" spans="7:8" x14ac:dyDescent="0.3">
      <c r="G154" s="59"/>
      <c r="H154" s="59"/>
    </row>
    <row r="155" spans="7:8" x14ac:dyDescent="0.3">
      <c r="G155" s="59"/>
      <c r="H155" s="59"/>
    </row>
    <row r="156" spans="7:8" x14ac:dyDescent="0.3">
      <c r="G156" s="59"/>
      <c r="H156" s="59"/>
    </row>
    <row r="157" spans="7:8" x14ac:dyDescent="0.3">
      <c r="G157" s="59"/>
      <c r="H157" s="59"/>
    </row>
    <row r="158" spans="7:8" x14ac:dyDescent="0.3">
      <c r="G158" s="59"/>
      <c r="H158" s="59"/>
    </row>
    <row r="159" spans="7:8" x14ac:dyDescent="0.3">
      <c r="G159" s="59"/>
      <c r="H159" s="59"/>
    </row>
    <row r="160" spans="7:8" x14ac:dyDescent="0.3">
      <c r="G160" s="62"/>
      <c r="H160" s="216"/>
    </row>
    <row r="161" spans="7:8" x14ac:dyDescent="0.3">
      <c r="G161" s="63"/>
      <c r="H161" s="63"/>
    </row>
    <row r="162" spans="7:8" x14ac:dyDescent="0.3">
      <c r="G162" s="63"/>
      <c r="H162" s="63"/>
    </row>
    <row r="163" spans="7:8" x14ac:dyDescent="0.3">
      <c r="G163" s="63"/>
      <c r="H163" s="63"/>
    </row>
    <row r="164" spans="7:8" x14ac:dyDescent="0.3">
      <c r="G164" s="63"/>
      <c r="H164" s="63"/>
    </row>
    <row r="165" spans="7:8" x14ac:dyDescent="0.3">
      <c r="G165" s="63"/>
      <c r="H165" s="63"/>
    </row>
    <row r="166" spans="7:8" x14ac:dyDescent="0.3">
      <c r="G166" s="63"/>
      <c r="H166" s="63"/>
    </row>
    <row r="167" spans="7:8" x14ac:dyDescent="0.3">
      <c r="G167" s="63"/>
      <c r="H167" s="63"/>
    </row>
    <row r="168" spans="7:8" x14ac:dyDescent="0.3">
      <c r="G168" s="63"/>
      <c r="H168" s="63"/>
    </row>
    <row r="169" spans="7:8" x14ac:dyDescent="0.3">
      <c r="G169" s="63"/>
      <c r="H169" s="63"/>
    </row>
    <row r="170" spans="7:8" x14ac:dyDescent="0.3">
      <c r="G170" s="63"/>
      <c r="H170" s="63"/>
    </row>
    <row r="171" spans="7:8" x14ac:dyDescent="0.3">
      <c r="G171" s="63"/>
      <c r="H171" s="63"/>
    </row>
    <row r="172" spans="7:8" x14ac:dyDescent="0.3">
      <c r="G172" s="66"/>
      <c r="H172" s="66"/>
    </row>
    <row r="173" spans="7:8" x14ac:dyDescent="0.3">
      <c r="G173" s="66"/>
      <c r="H173" s="66"/>
    </row>
  </sheetData>
  <mergeCells count="20">
    <mergeCell ref="A1:G2"/>
    <mergeCell ref="X1:AA2"/>
    <mergeCell ref="C27:F27"/>
    <mergeCell ref="G27:H27"/>
    <mergeCell ref="I27:K27"/>
    <mergeCell ref="L27:N27"/>
    <mergeCell ref="O27:R27"/>
    <mergeCell ref="S27:V27"/>
    <mergeCell ref="I5:K5"/>
    <mergeCell ref="C5:F5"/>
    <mergeCell ref="G5:H5"/>
    <mergeCell ref="W5:X5"/>
    <mergeCell ref="L5:N5"/>
    <mergeCell ref="O5:R5"/>
    <mergeCell ref="AB5:AD5"/>
    <mergeCell ref="AB27:AD27"/>
    <mergeCell ref="S5:V5"/>
    <mergeCell ref="Y5:AA5"/>
    <mergeCell ref="W27:X27"/>
    <mergeCell ref="Y27:AA27"/>
  </mergeCells>
  <pageMargins left="0.7" right="0.7" top="0.75" bottom="0.75" header="0.3" footer="0.3"/>
  <pageSetup paperSize="8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4A16-0267-4FD0-8A4D-DFDCA43CB885}">
  <sheetPr>
    <pageSetUpPr fitToPage="1"/>
  </sheetPr>
  <dimension ref="A1:O22"/>
  <sheetViews>
    <sheetView view="pageBreakPreview" zoomScale="60" zoomScaleNormal="100" workbookViewId="0">
      <selection activeCell="W19" sqref="W19"/>
    </sheetView>
  </sheetViews>
  <sheetFormatPr defaultRowHeight="14.4" x14ac:dyDescent="0.3"/>
  <cols>
    <col min="2" max="2" width="32.6640625" customWidth="1"/>
    <col min="3" max="3" width="17.88671875" customWidth="1"/>
    <col min="4" max="4" width="15.33203125" customWidth="1"/>
    <col min="5" max="5" width="15.109375" customWidth="1"/>
    <col min="6" max="6" width="10.21875" bestFit="1" customWidth="1"/>
    <col min="7" max="9" width="9.44140625" bestFit="1" customWidth="1"/>
    <col min="10" max="10" width="11.88671875" customWidth="1"/>
    <col min="11" max="11" width="10" bestFit="1" customWidth="1"/>
    <col min="15" max="15" width="11.109375" customWidth="1"/>
  </cols>
  <sheetData>
    <row r="1" spans="1:15" x14ac:dyDescent="0.3">
      <c r="B1" s="221" t="s">
        <v>563</v>
      </c>
      <c r="K1" s="643" t="s">
        <v>540</v>
      </c>
      <c r="L1" s="643"/>
      <c r="M1" s="697"/>
      <c r="N1" s="697"/>
    </row>
    <row r="2" spans="1:15" x14ac:dyDescent="0.3">
      <c r="C2" s="614"/>
      <c r="D2" s="614" t="s">
        <v>480</v>
      </c>
      <c r="E2" s="614"/>
      <c r="F2" s="614"/>
      <c r="G2" s="614"/>
      <c r="K2" s="697"/>
      <c r="L2" s="697"/>
      <c r="M2" s="697"/>
      <c r="N2" s="697"/>
    </row>
    <row r="3" spans="1:15" ht="15" thickBot="1" x14ac:dyDescent="0.35"/>
    <row r="4" spans="1:15" x14ac:dyDescent="0.3">
      <c r="A4" s="715" t="s">
        <v>457</v>
      </c>
      <c r="B4" s="717" t="s">
        <v>458</v>
      </c>
      <c r="C4" s="717" t="s">
        <v>459</v>
      </c>
      <c r="D4" s="717" t="s">
        <v>460</v>
      </c>
      <c r="E4" s="717" t="s">
        <v>486</v>
      </c>
      <c r="F4" s="460" t="s">
        <v>461</v>
      </c>
      <c r="G4" s="461"/>
      <c r="H4" s="461"/>
      <c r="I4" s="461"/>
      <c r="J4" s="713" t="s">
        <v>462</v>
      </c>
      <c r="K4" s="461" t="s">
        <v>493</v>
      </c>
      <c r="L4" s="461"/>
      <c r="M4" s="461"/>
      <c r="N4" s="462"/>
      <c r="O4" s="713" t="s">
        <v>462</v>
      </c>
    </row>
    <row r="5" spans="1:15" ht="15" thickBot="1" x14ac:dyDescent="0.35">
      <c r="A5" s="716"/>
      <c r="B5" s="718"/>
      <c r="C5" s="719"/>
      <c r="D5" s="718"/>
      <c r="E5" s="718"/>
      <c r="F5" s="463">
        <v>2021</v>
      </c>
      <c r="G5" s="464">
        <v>2022</v>
      </c>
      <c r="H5" s="464">
        <v>2023</v>
      </c>
      <c r="I5" s="503">
        <v>2024</v>
      </c>
      <c r="J5" s="714"/>
      <c r="K5" s="504">
        <v>2021</v>
      </c>
      <c r="L5" s="501">
        <v>2022</v>
      </c>
      <c r="M5" s="501">
        <v>2023</v>
      </c>
      <c r="N5" s="502">
        <v>2024</v>
      </c>
      <c r="O5" s="714"/>
    </row>
    <row r="6" spans="1:15" ht="15" thickBot="1" x14ac:dyDescent="0.35">
      <c r="A6" s="465" t="s">
        <v>463</v>
      </c>
      <c r="B6" s="466" t="s">
        <v>464</v>
      </c>
      <c r="C6" s="467" t="s">
        <v>465</v>
      </c>
      <c r="D6" s="467" t="s">
        <v>466</v>
      </c>
      <c r="E6" s="467" t="s">
        <v>467</v>
      </c>
      <c r="F6" s="467" t="s">
        <v>468</v>
      </c>
      <c r="G6" s="467" t="s">
        <v>469</v>
      </c>
      <c r="H6" s="467" t="s">
        <v>470</v>
      </c>
      <c r="I6" s="467" t="s">
        <v>471</v>
      </c>
      <c r="J6" s="505" t="s">
        <v>472</v>
      </c>
      <c r="K6" s="537" t="s">
        <v>489</v>
      </c>
      <c r="L6" s="506" t="s">
        <v>490</v>
      </c>
      <c r="M6" s="506" t="s">
        <v>491</v>
      </c>
      <c r="N6" s="506" t="s">
        <v>492</v>
      </c>
      <c r="O6" s="505" t="s">
        <v>494</v>
      </c>
    </row>
    <row r="7" spans="1:15" ht="24" x14ac:dyDescent="0.3">
      <c r="A7" s="468" t="s">
        <v>12</v>
      </c>
      <c r="B7" s="469" t="s">
        <v>473</v>
      </c>
      <c r="C7" s="470"/>
      <c r="D7" s="471">
        <f t="shared" ref="D7:I7" si="0">SUM(D8:D9)</f>
        <v>0</v>
      </c>
      <c r="E7" s="471">
        <f t="shared" si="0"/>
        <v>0</v>
      </c>
      <c r="F7" s="471">
        <f t="shared" si="0"/>
        <v>0</v>
      </c>
      <c r="G7" s="471">
        <f t="shared" si="0"/>
        <v>0</v>
      </c>
      <c r="H7" s="471">
        <f t="shared" si="0"/>
        <v>0</v>
      </c>
      <c r="I7" s="472">
        <f t="shared" si="0"/>
        <v>0</v>
      </c>
      <c r="J7" s="511">
        <f t="shared" ref="J7:J21" si="1">SUM(F7:I7)</f>
        <v>0</v>
      </c>
      <c r="K7" s="534"/>
      <c r="L7" s="535"/>
      <c r="M7" s="535"/>
      <c r="N7" s="535"/>
      <c r="O7" s="536">
        <f t="shared" ref="O7:O21" si="2">SUM(K7:N7)</f>
        <v>0</v>
      </c>
    </row>
    <row r="8" spans="1:15" x14ac:dyDescent="0.3">
      <c r="A8" s="473" t="s">
        <v>13</v>
      </c>
      <c r="B8" s="474" t="s">
        <v>474</v>
      </c>
      <c r="C8" s="475"/>
      <c r="D8" s="476"/>
      <c r="E8" s="476"/>
      <c r="F8" s="476"/>
      <c r="G8" s="476"/>
      <c r="H8" s="476"/>
      <c r="I8" s="477"/>
      <c r="J8" s="512">
        <f t="shared" si="1"/>
        <v>0</v>
      </c>
      <c r="K8" s="509"/>
      <c r="L8" s="500"/>
      <c r="M8" s="500"/>
      <c r="N8" s="500"/>
      <c r="O8" s="487">
        <f t="shared" si="2"/>
        <v>0</v>
      </c>
    </row>
    <row r="9" spans="1:15" x14ac:dyDescent="0.3">
      <c r="A9" s="473" t="s">
        <v>14</v>
      </c>
      <c r="B9" s="474" t="s">
        <v>474</v>
      </c>
      <c r="C9" s="475"/>
      <c r="D9" s="476"/>
      <c r="E9" s="476"/>
      <c r="F9" s="476"/>
      <c r="G9" s="476"/>
      <c r="H9" s="476"/>
      <c r="I9" s="477"/>
      <c r="J9" s="512">
        <f t="shared" si="1"/>
        <v>0</v>
      </c>
      <c r="K9" s="509"/>
      <c r="L9" s="500"/>
      <c r="M9" s="500"/>
      <c r="N9" s="500"/>
      <c r="O9" s="487">
        <f t="shared" si="2"/>
        <v>0</v>
      </c>
    </row>
    <row r="10" spans="1:15" ht="24" x14ac:dyDescent="0.3">
      <c r="A10" s="473" t="s">
        <v>15</v>
      </c>
      <c r="B10" s="478" t="s">
        <v>475</v>
      </c>
      <c r="C10" s="479"/>
      <c r="D10" s="480">
        <f t="shared" ref="D10:I10" si="3">SUM(D11:D12)</f>
        <v>0</v>
      </c>
      <c r="E10" s="480">
        <f t="shared" si="3"/>
        <v>58944590</v>
      </c>
      <c r="F10" s="480">
        <f t="shared" si="3"/>
        <v>95604896</v>
      </c>
      <c r="G10" s="480">
        <f t="shared" si="3"/>
        <v>93932013</v>
      </c>
      <c r="H10" s="480">
        <f t="shared" si="3"/>
        <v>92259129</v>
      </c>
      <c r="I10" s="481">
        <f t="shared" si="3"/>
        <v>90586246</v>
      </c>
      <c r="J10" s="513">
        <f t="shared" si="1"/>
        <v>372382284</v>
      </c>
      <c r="K10" s="509"/>
      <c r="L10" s="500"/>
      <c r="M10" s="500"/>
      <c r="N10" s="500"/>
      <c r="O10" s="487">
        <f t="shared" si="2"/>
        <v>0</v>
      </c>
    </row>
    <row r="11" spans="1:15" x14ac:dyDescent="0.3">
      <c r="A11" s="473" t="s">
        <v>16</v>
      </c>
      <c r="B11" s="474" t="s">
        <v>482</v>
      </c>
      <c r="C11" s="475" t="s">
        <v>483</v>
      </c>
      <c r="D11" s="476"/>
      <c r="E11" s="476">
        <v>58944590</v>
      </c>
      <c r="F11" s="476">
        <v>95604896</v>
      </c>
      <c r="G11" s="476">
        <v>93932013</v>
      </c>
      <c r="H11" s="476">
        <v>92259129</v>
      </c>
      <c r="I11" s="477">
        <v>90586246</v>
      </c>
      <c r="J11" s="512">
        <f t="shared" si="1"/>
        <v>372382284</v>
      </c>
      <c r="K11" s="509"/>
      <c r="L11" s="500"/>
      <c r="M11" s="500"/>
      <c r="N11" s="500"/>
      <c r="O11" s="487">
        <f t="shared" si="2"/>
        <v>0</v>
      </c>
    </row>
    <row r="12" spans="1:15" x14ac:dyDescent="0.3">
      <c r="A12" s="473" t="s">
        <v>17</v>
      </c>
      <c r="B12" s="474" t="s">
        <v>474</v>
      </c>
      <c r="C12" s="475"/>
      <c r="D12" s="476"/>
      <c r="E12" s="476"/>
      <c r="F12" s="476"/>
      <c r="G12" s="476"/>
      <c r="H12" s="476"/>
      <c r="I12" s="477"/>
      <c r="J12" s="512">
        <f t="shared" si="1"/>
        <v>0</v>
      </c>
      <c r="K12" s="509"/>
      <c r="L12" s="500"/>
      <c r="M12" s="500"/>
      <c r="N12" s="500"/>
      <c r="O12" s="487">
        <f t="shared" si="2"/>
        <v>0</v>
      </c>
    </row>
    <row r="13" spans="1:15" x14ac:dyDescent="0.3">
      <c r="A13" s="473" t="s">
        <v>18</v>
      </c>
      <c r="B13" s="478" t="s">
        <v>476</v>
      </c>
      <c r="C13" s="479"/>
      <c r="D13" s="480">
        <f>SUM(D14:D17)</f>
        <v>924267363</v>
      </c>
      <c r="E13" s="480">
        <f t="shared" ref="E13:I13" si="4">SUM(E14:E14)</f>
        <v>106406000</v>
      </c>
      <c r="F13" s="480">
        <f>SUM(F14:F17)</f>
        <v>717261363</v>
      </c>
      <c r="G13" s="480">
        <f t="shared" si="4"/>
        <v>0</v>
      </c>
      <c r="H13" s="480">
        <f t="shared" si="4"/>
        <v>0</v>
      </c>
      <c r="I13" s="481">
        <f t="shared" si="4"/>
        <v>0</v>
      </c>
      <c r="J13" s="513">
        <f t="shared" si="1"/>
        <v>717261363</v>
      </c>
      <c r="K13" s="510">
        <f>SUM(K14:K17)</f>
        <v>243640300</v>
      </c>
      <c r="L13" s="480">
        <f t="shared" ref="L13:N13" si="5">SUM(L14:L14)</f>
        <v>0</v>
      </c>
      <c r="M13" s="480">
        <f t="shared" si="5"/>
        <v>0</v>
      </c>
      <c r="N13" s="480">
        <f t="shared" si="5"/>
        <v>0</v>
      </c>
      <c r="O13" s="507">
        <f t="shared" si="2"/>
        <v>243640300</v>
      </c>
    </row>
    <row r="14" spans="1:15" ht="24.6" thickBot="1" x14ac:dyDescent="0.35">
      <c r="A14" s="493" t="s">
        <v>19</v>
      </c>
      <c r="B14" s="482" t="s">
        <v>481</v>
      </c>
      <c r="C14" s="494">
        <v>2020</v>
      </c>
      <c r="D14" s="495">
        <v>633050363</v>
      </c>
      <c r="E14" s="495">
        <v>106406000</v>
      </c>
      <c r="F14" s="495">
        <v>526644363</v>
      </c>
      <c r="G14" s="495"/>
      <c r="H14" s="495"/>
      <c r="I14" s="496"/>
      <c r="J14" s="514">
        <f t="shared" si="1"/>
        <v>526644363</v>
      </c>
      <c r="K14" s="509">
        <v>120000000</v>
      </c>
      <c r="L14" s="500"/>
      <c r="M14" s="500"/>
      <c r="N14" s="500"/>
      <c r="O14" s="487">
        <f t="shared" si="2"/>
        <v>120000000</v>
      </c>
    </row>
    <row r="15" spans="1:15" s="221" customFormat="1" x14ac:dyDescent="0.3">
      <c r="A15" s="468" t="s">
        <v>20</v>
      </c>
      <c r="B15" s="499" t="s">
        <v>485</v>
      </c>
      <c r="C15" s="475">
        <v>2018</v>
      </c>
      <c r="D15" s="476">
        <v>250000000</v>
      </c>
      <c r="E15" s="476">
        <v>101600000</v>
      </c>
      <c r="F15" s="476">
        <v>149400000</v>
      </c>
      <c r="G15" s="476"/>
      <c r="H15" s="476"/>
      <c r="I15" s="477"/>
      <c r="J15" s="512">
        <f t="shared" si="1"/>
        <v>149400000</v>
      </c>
      <c r="K15" s="509">
        <v>100000000</v>
      </c>
      <c r="L15" s="500"/>
      <c r="M15" s="500"/>
      <c r="N15" s="500"/>
      <c r="O15" s="487">
        <f t="shared" si="2"/>
        <v>100000000</v>
      </c>
    </row>
    <row r="16" spans="1:15" s="221" customFormat="1" x14ac:dyDescent="0.3">
      <c r="A16" s="473" t="s">
        <v>21</v>
      </c>
      <c r="B16" s="499" t="s">
        <v>488</v>
      </c>
      <c r="C16" s="475">
        <v>2018</v>
      </c>
      <c r="D16" s="476">
        <v>26267000</v>
      </c>
      <c r="E16" s="476">
        <v>0</v>
      </c>
      <c r="F16" s="476">
        <v>26267000</v>
      </c>
      <c r="G16" s="476"/>
      <c r="H16" s="476"/>
      <c r="I16" s="477"/>
      <c r="J16" s="512">
        <f t="shared" si="1"/>
        <v>26267000</v>
      </c>
      <c r="K16" s="509">
        <f>+J16*0.9</f>
        <v>23640300</v>
      </c>
      <c r="L16" s="500"/>
      <c r="M16" s="500"/>
      <c r="N16" s="500"/>
      <c r="O16" s="487">
        <f t="shared" si="2"/>
        <v>23640300</v>
      </c>
    </row>
    <row r="17" spans="1:15" ht="60" x14ac:dyDescent="0.3">
      <c r="A17" s="473" t="s">
        <v>22</v>
      </c>
      <c r="B17" s="482" t="s">
        <v>487</v>
      </c>
      <c r="C17" s="475">
        <v>2020</v>
      </c>
      <c r="D17" s="497">
        <v>14950000</v>
      </c>
      <c r="E17" s="497">
        <v>0</v>
      </c>
      <c r="F17" s="497">
        <v>14950000</v>
      </c>
      <c r="G17" s="497"/>
      <c r="H17" s="497"/>
      <c r="I17" s="498"/>
      <c r="J17" s="515">
        <f t="shared" si="1"/>
        <v>14950000</v>
      </c>
      <c r="K17" s="509"/>
      <c r="L17" s="500"/>
      <c r="M17" s="500"/>
      <c r="N17" s="500"/>
      <c r="O17" s="487">
        <f t="shared" si="2"/>
        <v>0</v>
      </c>
    </row>
    <row r="18" spans="1:15" x14ac:dyDescent="0.3">
      <c r="A18" s="473" t="s">
        <v>23</v>
      </c>
      <c r="B18" s="478" t="s">
        <v>477</v>
      </c>
      <c r="C18" s="479"/>
      <c r="D18" s="480"/>
      <c r="E18" s="480"/>
      <c r="F18" s="480"/>
      <c r="G18" s="480"/>
      <c r="H18" s="480"/>
      <c r="I18" s="481"/>
      <c r="J18" s="512">
        <f t="shared" si="1"/>
        <v>0</v>
      </c>
      <c r="K18" s="509"/>
      <c r="L18" s="500"/>
      <c r="M18" s="500"/>
      <c r="N18" s="500"/>
      <c r="O18" s="487">
        <f t="shared" si="2"/>
        <v>0</v>
      </c>
    </row>
    <row r="19" spans="1:15" x14ac:dyDescent="0.3">
      <c r="A19" s="473" t="s">
        <v>24</v>
      </c>
      <c r="B19" s="474" t="s">
        <v>474</v>
      </c>
      <c r="C19" s="475"/>
      <c r="D19" s="476"/>
      <c r="E19" s="476"/>
      <c r="F19" s="476"/>
      <c r="G19" s="476"/>
      <c r="H19" s="476"/>
      <c r="I19" s="477"/>
      <c r="J19" s="512">
        <f t="shared" si="1"/>
        <v>0</v>
      </c>
      <c r="K19" s="509"/>
      <c r="L19" s="500"/>
      <c r="M19" s="500"/>
      <c r="N19" s="500"/>
      <c r="O19" s="487">
        <f t="shared" si="2"/>
        <v>0</v>
      </c>
    </row>
    <row r="20" spans="1:15" x14ac:dyDescent="0.3">
      <c r="A20" s="473" t="s">
        <v>25</v>
      </c>
      <c r="B20" s="483" t="s">
        <v>478</v>
      </c>
      <c r="C20" s="484"/>
      <c r="D20" s="485"/>
      <c r="E20" s="485"/>
      <c r="F20" s="485"/>
      <c r="G20" s="485"/>
      <c r="H20" s="485"/>
      <c r="I20" s="486"/>
      <c r="J20" s="512">
        <f t="shared" si="1"/>
        <v>0</v>
      </c>
      <c r="K20" s="509"/>
      <c r="L20" s="500"/>
      <c r="M20" s="500"/>
      <c r="N20" s="500"/>
      <c r="O20" s="487">
        <f t="shared" si="2"/>
        <v>0</v>
      </c>
    </row>
    <row r="21" spans="1:15" ht="15" thickBot="1" x14ac:dyDescent="0.35">
      <c r="A21" s="473" t="s">
        <v>26</v>
      </c>
      <c r="B21" s="482" t="s">
        <v>484</v>
      </c>
      <c r="C21" s="480">
        <v>2020</v>
      </c>
      <c r="D21" s="480">
        <v>1600000</v>
      </c>
      <c r="E21" s="480"/>
      <c r="F21" s="480">
        <v>1600000</v>
      </c>
      <c r="G21" s="480"/>
      <c r="H21" s="480"/>
      <c r="I21" s="481"/>
      <c r="J21" s="512">
        <f t="shared" si="1"/>
        <v>1600000</v>
      </c>
      <c r="K21" s="509"/>
      <c r="L21" s="500"/>
      <c r="M21" s="500"/>
      <c r="N21" s="500"/>
      <c r="O21" s="487">
        <f t="shared" si="2"/>
        <v>0</v>
      </c>
    </row>
    <row r="22" spans="1:15" ht="15" thickBot="1" x14ac:dyDescent="0.35">
      <c r="A22" s="488" t="s">
        <v>27</v>
      </c>
      <c r="B22" s="489" t="s">
        <v>479</v>
      </c>
      <c r="C22" s="490"/>
      <c r="D22" s="491">
        <f t="shared" ref="D22:O22" si="6">D7+D10+D13+D18+D20</f>
        <v>924267363</v>
      </c>
      <c r="E22" s="491">
        <f t="shared" si="6"/>
        <v>165350590</v>
      </c>
      <c r="F22" s="491">
        <f t="shared" si="6"/>
        <v>812866259</v>
      </c>
      <c r="G22" s="491">
        <f t="shared" si="6"/>
        <v>93932013</v>
      </c>
      <c r="H22" s="491">
        <f t="shared" si="6"/>
        <v>92259129</v>
      </c>
      <c r="I22" s="492">
        <f t="shared" si="6"/>
        <v>90586246</v>
      </c>
      <c r="J22" s="508">
        <f t="shared" si="6"/>
        <v>1089643647</v>
      </c>
      <c r="K22" s="491">
        <f t="shared" si="6"/>
        <v>243640300</v>
      </c>
      <c r="L22" s="491">
        <f t="shared" si="6"/>
        <v>0</v>
      </c>
      <c r="M22" s="491">
        <f t="shared" si="6"/>
        <v>0</v>
      </c>
      <c r="N22" s="492">
        <f t="shared" si="6"/>
        <v>0</v>
      </c>
      <c r="O22" s="508">
        <f t="shared" si="6"/>
        <v>243640300</v>
      </c>
    </row>
  </sheetData>
  <mergeCells count="8">
    <mergeCell ref="K1:N2"/>
    <mergeCell ref="O4:O5"/>
    <mergeCell ref="A4:A5"/>
    <mergeCell ref="B4:B5"/>
    <mergeCell ref="C4:C5"/>
    <mergeCell ref="D4:D5"/>
    <mergeCell ref="E4:E5"/>
    <mergeCell ref="J4:J5"/>
  </mergeCells>
  <phoneticPr fontId="34" type="noConversion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L73"/>
  <sheetViews>
    <sheetView showWhiteSpace="0" view="pageBreakPreview" zoomScale="130" zoomScaleNormal="100" zoomScaleSheetLayoutView="130" zoomScalePageLayoutView="115" workbookViewId="0">
      <selection activeCell="F13" sqref="F13"/>
    </sheetView>
  </sheetViews>
  <sheetFormatPr defaultRowHeight="14.4" x14ac:dyDescent="0.3"/>
  <cols>
    <col min="1" max="1" width="5.33203125" style="3" customWidth="1"/>
    <col min="2" max="2" width="48.44140625" style="2" customWidth="1"/>
    <col min="3" max="3" width="11.6640625" customWidth="1"/>
    <col min="4" max="4" width="11.6640625" style="221" customWidth="1"/>
    <col min="5" max="5" width="11.6640625" customWidth="1"/>
    <col min="6" max="6" width="11.6640625" style="221" customWidth="1"/>
    <col min="7" max="7" width="8.6640625" customWidth="1"/>
    <col min="8" max="8" width="8.6640625" style="221" customWidth="1"/>
    <col min="9" max="9" width="12.6640625" customWidth="1"/>
    <col min="10" max="10" width="12.6640625" style="221" customWidth="1"/>
    <col min="11" max="11" width="28.5546875" customWidth="1"/>
  </cols>
  <sheetData>
    <row r="1" spans="1:11" ht="15" customHeight="1" x14ac:dyDescent="0.3">
      <c r="B1" s="586" t="s">
        <v>541</v>
      </c>
      <c r="C1" s="644" t="s">
        <v>125</v>
      </c>
      <c r="D1" s="644"/>
      <c r="E1" s="644"/>
      <c r="F1" s="644"/>
      <c r="G1" s="222"/>
      <c r="H1" s="643" t="s">
        <v>542</v>
      </c>
      <c r="I1" s="643"/>
      <c r="J1" s="643"/>
    </row>
    <row r="2" spans="1:11" ht="15" customHeight="1" x14ac:dyDescent="0.3">
      <c r="B2" s="584"/>
      <c r="C2" s="644" t="s">
        <v>345</v>
      </c>
      <c r="D2" s="644"/>
      <c r="E2" s="644"/>
      <c r="F2" s="644"/>
      <c r="G2" s="223"/>
      <c r="H2" s="643"/>
      <c r="I2" s="643"/>
      <c r="J2" s="643"/>
    </row>
    <row r="3" spans="1:11" ht="23.25" customHeight="1" x14ac:dyDescent="0.3">
      <c r="A3" s="89"/>
      <c r="B3" s="114" t="s">
        <v>43</v>
      </c>
      <c r="C3" s="115"/>
      <c r="D3" s="409"/>
      <c r="E3" s="64"/>
      <c r="F3" s="64"/>
      <c r="G3" s="64"/>
      <c r="H3" s="64"/>
      <c r="I3" s="64" t="s">
        <v>418</v>
      </c>
      <c r="J3" s="64"/>
    </row>
    <row r="4" spans="1:11" ht="51" x14ac:dyDescent="0.3">
      <c r="A4" s="165" t="s">
        <v>31</v>
      </c>
      <c r="B4" s="166" t="s">
        <v>32</v>
      </c>
      <c r="C4" s="166" t="s">
        <v>436</v>
      </c>
      <c r="D4" s="166" t="s">
        <v>440</v>
      </c>
      <c r="E4" s="166" t="s">
        <v>437</v>
      </c>
      <c r="F4" s="166" t="s">
        <v>441</v>
      </c>
      <c r="G4" s="166" t="s">
        <v>438</v>
      </c>
      <c r="H4" s="166" t="s">
        <v>442</v>
      </c>
      <c r="I4" s="166" t="s">
        <v>439</v>
      </c>
      <c r="J4" s="166" t="s">
        <v>443</v>
      </c>
    </row>
    <row r="5" spans="1:11" s="220" customFormat="1" ht="12.75" customHeight="1" x14ac:dyDescent="0.3">
      <c r="A5" s="121" t="s">
        <v>12</v>
      </c>
      <c r="B5" s="195" t="s">
        <v>80</v>
      </c>
      <c r="C5" s="177">
        <v>811553548</v>
      </c>
      <c r="D5" s="177">
        <v>852246572</v>
      </c>
      <c r="E5" s="177">
        <v>0</v>
      </c>
      <c r="F5" s="177"/>
      <c r="G5" s="177">
        <v>0</v>
      </c>
      <c r="H5" s="177"/>
      <c r="I5" s="177">
        <f>C5+E5+G5</f>
        <v>811553548</v>
      </c>
      <c r="J5" s="177">
        <f>D5+F5+H5</f>
        <v>852246572</v>
      </c>
    </row>
    <row r="6" spans="1:11" s="220" customFormat="1" ht="12.75" customHeight="1" x14ac:dyDescent="0.3">
      <c r="A6" s="121" t="s">
        <v>13</v>
      </c>
      <c r="B6" s="195" t="s">
        <v>183</v>
      </c>
      <c r="C6" s="177">
        <f>+C7</f>
        <v>120471452</v>
      </c>
      <c r="D6" s="177">
        <f>+D7</f>
        <v>79778428</v>
      </c>
      <c r="E6" s="177">
        <v>0</v>
      </c>
      <c r="F6" s="177"/>
      <c r="G6" s="177">
        <v>0</v>
      </c>
      <c r="H6" s="177"/>
      <c r="I6" s="177">
        <f t="shared" ref="I6:J34" si="0">C6+E6+G6</f>
        <v>120471452</v>
      </c>
      <c r="J6" s="177">
        <f t="shared" si="0"/>
        <v>79778428</v>
      </c>
    </row>
    <row r="7" spans="1:11" ht="12.75" customHeight="1" x14ac:dyDescent="0.3">
      <c r="A7" s="40" t="s">
        <v>55</v>
      </c>
      <c r="B7" s="444" t="s">
        <v>82</v>
      </c>
      <c r="C7" s="446">
        <f>+C8+C10</f>
        <v>120471452</v>
      </c>
      <c r="D7" s="446">
        <f>+D8+D10</f>
        <v>79778428</v>
      </c>
      <c r="E7" s="446">
        <f>E8+E9+E10</f>
        <v>0</v>
      </c>
      <c r="F7" s="446">
        <f>F8+F9+F10</f>
        <v>0</v>
      </c>
      <c r="G7" s="446">
        <f>G8+G9+G10</f>
        <v>0</v>
      </c>
      <c r="H7" s="446"/>
      <c r="I7" s="177">
        <f t="shared" si="0"/>
        <v>120471452</v>
      </c>
      <c r="J7" s="177">
        <f t="shared" si="0"/>
        <v>79778428</v>
      </c>
    </row>
    <row r="8" spans="1:11" ht="12.75" customHeight="1" x14ac:dyDescent="0.3">
      <c r="A8" s="40" t="s">
        <v>83</v>
      </c>
      <c r="B8" s="444" t="s">
        <v>454</v>
      </c>
      <c r="C8" s="446">
        <v>50471452</v>
      </c>
      <c r="D8" s="446">
        <v>50471452</v>
      </c>
      <c r="E8" s="446">
        <v>0</v>
      </c>
      <c r="F8" s="446"/>
      <c r="G8" s="446">
        <v>0</v>
      </c>
      <c r="H8" s="446"/>
      <c r="I8" s="177">
        <f t="shared" si="0"/>
        <v>50471452</v>
      </c>
      <c r="J8" s="177">
        <f t="shared" si="0"/>
        <v>50471452</v>
      </c>
    </row>
    <row r="9" spans="1:11" ht="12.75" customHeight="1" x14ac:dyDescent="0.3">
      <c r="A9" s="40" t="s">
        <v>84</v>
      </c>
      <c r="B9" s="444" t="s">
        <v>86</v>
      </c>
      <c r="C9" s="446">
        <v>0</v>
      </c>
      <c r="D9" s="446">
        <v>0</v>
      </c>
      <c r="E9" s="446">
        <v>0</v>
      </c>
      <c r="F9" s="446"/>
      <c r="G9" s="446">
        <v>0</v>
      </c>
      <c r="H9" s="446"/>
      <c r="I9" s="177">
        <f t="shared" si="0"/>
        <v>0</v>
      </c>
      <c r="J9" s="177">
        <f t="shared" si="0"/>
        <v>0</v>
      </c>
      <c r="K9" s="42"/>
    </row>
    <row r="10" spans="1:11" ht="15.75" customHeight="1" x14ac:dyDescent="0.3">
      <c r="A10" s="40" t="s">
        <v>85</v>
      </c>
      <c r="B10" s="444" t="s">
        <v>322</v>
      </c>
      <c r="C10" s="446">
        <v>70000000</v>
      </c>
      <c r="D10" s="446">
        <f>70000000-40693024</f>
        <v>29306976</v>
      </c>
      <c r="E10" s="446">
        <v>0</v>
      </c>
      <c r="F10" s="446"/>
      <c r="G10" s="446">
        <v>0</v>
      </c>
      <c r="H10" s="446"/>
      <c r="I10" s="177">
        <f t="shared" si="0"/>
        <v>70000000</v>
      </c>
      <c r="J10" s="177">
        <f t="shared" si="0"/>
        <v>29306976</v>
      </c>
      <c r="K10" s="42"/>
    </row>
    <row r="11" spans="1:11" s="220" customFormat="1" ht="12.75" customHeight="1" x14ac:dyDescent="0.3">
      <c r="A11" s="121" t="s">
        <v>14</v>
      </c>
      <c r="B11" s="449" t="s">
        <v>87</v>
      </c>
      <c r="C11" s="208">
        <v>711000000</v>
      </c>
      <c r="D11" s="208">
        <v>478500000</v>
      </c>
      <c r="E11" s="208">
        <v>0</v>
      </c>
      <c r="F11" s="208"/>
      <c r="G11" s="208">
        <v>0</v>
      </c>
      <c r="H11" s="208"/>
      <c r="I11" s="177">
        <f t="shared" si="0"/>
        <v>711000000</v>
      </c>
      <c r="J11" s="177">
        <f t="shared" si="0"/>
        <v>478500000</v>
      </c>
      <c r="K11" s="426"/>
    </row>
    <row r="12" spans="1:11" s="220" customFormat="1" ht="12.75" customHeight="1" x14ac:dyDescent="0.3">
      <c r="A12" s="121" t="s">
        <v>15</v>
      </c>
      <c r="B12" s="449" t="s">
        <v>88</v>
      </c>
      <c r="C12" s="208">
        <f>1100000000-E12</f>
        <v>1000144000</v>
      </c>
      <c r="D12" s="208">
        <f>1100000000-F12-45000000</f>
        <v>959144000</v>
      </c>
      <c r="E12" s="208">
        <v>99856000</v>
      </c>
      <c r="F12" s="208">
        <f>+E12-4000000</f>
        <v>95856000</v>
      </c>
      <c r="G12" s="208">
        <v>0</v>
      </c>
      <c r="H12" s="208"/>
      <c r="I12" s="177">
        <f t="shared" si="0"/>
        <v>1100000000</v>
      </c>
      <c r="J12" s="177">
        <f t="shared" si="0"/>
        <v>1055000000</v>
      </c>
      <c r="K12" s="426"/>
    </row>
    <row r="13" spans="1:11" ht="12.75" customHeight="1" x14ac:dyDescent="0.3">
      <c r="A13" s="40"/>
      <c r="B13" s="444" t="s">
        <v>38</v>
      </c>
      <c r="C13" s="446">
        <v>300000000</v>
      </c>
      <c r="D13" s="446">
        <f>+C13</f>
        <v>300000000</v>
      </c>
      <c r="E13" s="446">
        <v>0</v>
      </c>
      <c r="F13" s="446"/>
      <c r="G13" s="446">
        <v>0</v>
      </c>
      <c r="H13" s="446"/>
      <c r="I13" s="177">
        <f t="shared" si="0"/>
        <v>300000000</v>
      </c>
      <c r="J13" s="177">
        <f t="shared" si="0"/>
        <v>300000000</v>
      </c>
      <c r="K13" s="42"/>
    </row>
    <row r="14" spans="1:11" ht="12.75" customHeight="1" x14ac:dyDescent="0.3">
      <c r="A14" s="40"/>
      <c r="B14" s="444" t="s">
        <v>39</v>
      </c>
      <c r="C14" s="446">
        <v>85000000</v>
      </c>
      <c r="D14" s="446">
        <f>+C14</f>
        <v>85000000</v>
      </c>
      <c r="E14" s="446">
        <v>0</v>
      </c>
      <c r="F14" s="446"/>
      <c r="G14" s="446">
        <v>0</v>
      </c>
      <c r="H14" s="446"/>
      <c r="I14" s="177">
        <f t="shared" si="0"/>
        <v>85000000</v>
      </c>
      <c r="J14" s="177">
        <f t="shared" si="0"/>
        <v>85000000</v>
      </c>
      <c r="K14" s="42"/>
    </row>
    <row r="15" spans="1:11" ht="12.75" customHeight="1" x14ac:dyDescent="0.3">
      <c r="A15" s="40"/>
      <c r="B15" s="444" t="s">
        <v>40</v>
      </c>
      <c r="C15" s="446">
        <f>662500000-E15</f>
        <v>562644000</v>
      </c>
      <c r="D15" s="446">
        <f>662500000-F15</f>
        <v>566644000</v>
      </c>
      <c r="E15" s="446">
        <v>99856000</v>
      </c>
      <c r="F15" s="446">
        <f>+E15-4000000</f>
        <v>95856000</v>
      </c>
      <c r="G15" s="446">
        <v>0</v>
      </c>
      <c r="H15" s="446"/>
      <c r="I15" s="177">
        <f t="shared" si="0"/>
        <v>662500000</v>
      </c>
      <c r="J15" s="177">
        <f t="shared" si="0"/>
        <v>662500000</v>
      </c>
      <c r="K15" s="42"/>
    </row>
    <row r="16" spans="1:11" ht="12.75" customHeight="1" x14ac:dyDescent="0.3">
      <c r="A16" s="40"/>
      <c r="B16" s="444" t="s">
        <v>71</v>
      </c>
      <c r="C16" s="446">
        <v>2000000</v>
      </c>
      <c r="D16" s="446">
        <f>+C16</f>
        <v>2000000</v>
      </c>
      <c r="E16" s="446">
        <v>0</v>
      </c>
      <c r="F16" s="446"/>
      <c r="G16" s="446">
        <v>0</v>
      </c>
      <c r="H16" s="446"/>
      <c r="I16" s="177">
        <f t="shared" si="0"/>
        <v>2000000</v>
      </c>
      <c r="J16" s="177">
        <f t="shared" si="0"/>
        <v>2000000</v>
      </c>
      <c r="K16" s="42"/>
    </row>
    <row r="17" spans="1:11" ht="12.75" customHeight="1" x14ac:dyDescent="0.3">
      <c r="A17" s="40"/>
      <c r="B17" s="444" t="s">
        <v>41</v>
      </c>
      <c r="C17" s="446">
        <v>45000000</v>
      </c>
      <c r="D17" s="446">
        <v>0</v>
      </c>
      <c r="E17" s="446">
        <v>0</v>
      </c>
      <c r="F17" s="446"/>
      <c r="G17" s="446">
        <v>0</v>
      </c>
      <c r="H17" s="446"/>
      <c r="I17" s="177">
        <f t="shared" si="0"/>
        <v>45000000</v>
      </c>
      <c r="J17" s="177">
        <f t="shared" si="0"/>
        <v>0</v>
      </c>
      <c r="K17" s="42"/>
    </row>
    <row r="18" spans="1:11" ht="12.75" customHeight="1" x14ac:dyDescent="0.3">
      <c r="A18" s="171"/>
      <c r="B18" s="444" t="s">
        <v>285</v>
      </c>
      <c r="C18" s="446">
        <v>5500000</v>
      </c>
      <c r="D18" s="446">
        <f>+C18</f>
        <v>5500000</v>
      </c>
      <c r="E18" s="446">
        <v>0</v>
      </c>
      <c r="F18" s="446"/>
      <c r="G18" s="446">
        <v>0</v>
      </c>
      <c r="H18" s="446"/>
      <c r="I18" s="177">
        <f t="shared" si="0"/>
        <v>5500000</v>
      </c>
      <c r="J18" s="177">
        <f t="shared" si="0"/>
        <v>5500000</v>
      </c>
      <c r="K18" s="42"/>
    </row>
    <row r="19" spans="1:11" s="220" customFormat="1" ht="12.75" customHeight="1" x14ac:dyDescent="0.3">
      <c r="A19" s="121" t="s">
        <v>16</v>
      </c>
      <c r="B19" s="449" t="s">
        <v>89</v>
      </c>
      <c r="C19" s="208">
        <v>287482000</v>
      </c>
      <c r="D19" s="208">
        <f>+C19</f>
        <v>287482000</v>
      </c>
      <c r="E19" s="208">
        <v>0</v>
      </c>
      <c r="F19" s="208"/>
      <c r="G19" s="208">
        <v>0</v>
      </c>
      <c r="H19" s="208"/>
      <c r="I19" s="177">
        <f t="shared" si="0"/>
        <v>287482000</v>
      </c>
      <c r="J19" s="177">
        <f t="shared" si="0"/>
        <v>287482000</v>
      </c>
      <c r="K19" s="426"/>
    </row>
    <row r="20" spans="1:11" s="220" customFormat="1" ht="12.75" customHeight="1" x14ac:dyDescent="0.3">
      <c r="A20" s="121" t="s">
        <v>17</v>
      </c>
      <c r="B20" s="449" t="s">
        <v>90</v>
      </c>
      <c r="C20" s="208">
        <v>281000000</v>
      </c>
      <c r="D20" s="208">
        <v>38521437</v>
      </c>
      <c r="E20" s="208">
        <v>0</v>
      </c>
      <c r="F20" s="208"/>
      <c r="G20" s="208">
        <v>0</v>
      </c>
      <c r="H20" s="208"/>
      <c r="I20" s="177">
        <f t="shared" si="0"/>
        <v>281000000</v>
      </c>
      <c r="J20" s="177">
        <f t="shared" si="0"/>
        <v>38521437</v>
      </c>
      <c r="K20" s="426"/>
    </row>
    <row r="21" spans="1:11" s="220" customFormat="1" ht="12.75" customHeight="1" x14ac:dyDescent="0.3">
      <c r="A21" s="121" t="s">
        <v>18</v>
      </c>
      <c r="B21" s="449" t="s">
        <v>91</v>
      </c>
      <c r="C21" s="208">
        <v>0</v>
      </c>
      <c r="D21" s="208">
        <v>0</v>
      </c>
      <c r="E21" s="208">
        <v>0</v>
      </c>
      <c r="F21" s="208">
        <v>2237500</v>
      </c>
      <c r="G21" s="208">
        <v>0</v>
      </c>
      <c r="H21" s="208"/>
      <c r="I21" s="177">
        <f t="shared" si="0"/>
        <v>0</v>
      </c>
      <c r="J21" s="177">
        <f t="shared" si="0"/>
        <v>2237500</v>
      </c>
      <c r="K21" s="426"/>
    </row>
    <row r="22" spans="1:11" s="220" customFormat="1" ht="12.75" customHeight="1" x14ac:dyDescent="0.3">
      <c r="A22" s="121" t="s">
        <v>19</v>
      </c>
      <c r="B22" s="449" t="s">
        <v>92</v>
      </c>
      <c r="C22" s="208">
        <v>0</v>
      </c>
      <c r="D22" s="208">
        <v>0</v>
      </c>
      <c r="E22" s="208">
        <v>0</v>
      </c>
      <c r="F22" s="208"/>
      <c r="G22" s="208">
        <v>0</v>
      </c>
      <c r="H22" s="208"/>
      <c r="I22" s="177">
        <f t="shared" si="0"/>
        <v>0</v>
      </c>
      <c r="J22" s="177">
        <f t="shared" si="0"/>
        <v>0</v>
      </c>
      <c r="K22" s="426"/>
    </row>
    <row r="23" spans="1:11" ht="12.75" customHeight="1" x14ac:dyDescent="0.3">
      <c r="A23" s="121" t="s">
        <v>20</v>
      </c>
      <c r="B23" s="449" t="s">
        <v>93</v>
      </c>
      <c r="C23" s="446">
        <f>C5+C6+C11+C12+C19+C20+C21+C22</f>
        <v>3211651000</v>
      </c>
      <c r="D23" s="446">
        <f>D5+D6+D11+D12+D19+D20+D21+D22</f>
        <v>2695672437</v>
      </c>
      <c r="E23" s="446">
        <f>E5+E6+E11+E12+E19+E20+E21+E22</f>
        <v>99856000</v>
      </c>
      <c r="F23" s="446">
        <f>F5+F6+F11+F12+F19+F20+F21+F22</f>
        <v>98093500</v>
      </c>
      <c r="G23" s="446">
        <f>G5+G6+G11+G12+G19+G20+G21+G22</f>
        <v>0</v>
      </c>
      <c r="H23" s="446"/>
      <c r="I23" s="177">
        <f t="shared" si="0"/>
        <v>3311507000</v>
      </c>
      <c r="J23" s="177">
        <f t="shared" si="0"/>
        <v>2793765937</v>
      </c>
      <c r="K23" s="42"/>
    </row>
    <row r="24" spans="1:11" ht="12.75" customHeight="1" x14ac:dyDescent="0.3">
      <c r="A24" s="40" t="s">
        <v>21</v>
      </c>
      <c r="B24" s="444" t="s">
        <v>445</v>
      </c>
      <c r="C24" s="446">
        <v>350000000</v>
      </c>
      <c r="D24" s="446">
        <f>+C24</f>
        <v>350000000</v>
      </c>
      <c r="E24" s="446">
        <v>0</v>
      </c>
      <c r="F24" s="446"/>
      <c r="G24" s="446">
        <v>0</v>
      </c>
      <c r="H24" s="446"/>
      <c r="I24" s="177">
        <f t="shared" si="0"/>
        <v>350000000</v>
      </c>
      <c r="J24" s="177">
        <f t="shared" si="0"/>
        <v>350000000</v>
      </c>
      <c r="K24" s="42"/>
    </row>
    <row r="25" spans="1:11" s="221" customFormat="1" ht="12.75" customHeight="1" x14ac:dyDescent="0.3">
      <c r="A25" s="40" t="s">
        <v>22</v>
      </c>
      <c r="B25" s="444" t="s">
        <v>446</v>
      </c>
      <c r="C25" s="446"/>
      <c r="D25" s="446">
        <v>300000000</v>
      </c>
      <c r="E25" s="446"/>
      <c r="F25" s="446"/>
      <c r="G25" s="446"/>
      <c r="H25" s="446"/>
      <c r="I25" s="177">
        <f t="shared" ref="I25:I32" si="1">C25+E25+G25</f>
        <v>0</v>
      </c>
      <c r="J25" s="177">
        <f t="shared" ref="J25:J32" si="2">D25+F25+H25</f>
        <v>300000000</v>
      </c>
      <c r="K25" s="42"/>
    </row>
    <row r="26" spans="1:11" ht="12.75" customHeight="1" x14ac:dyDescent="0.3">
      <c r="A26" s="40" t="s">
        <v>22</v>
      </c>
      <c r="B26" s="444" t="s">
        <v>95</v>
      </c>
      <c r="C26" s="446">
        <v>0</v>
      </c>
      <c r="D26" s="446"/>
      <c r="E26" s="446">
        <v>0</v>
      </c>
      <c r="F26" s="446"/>
      <c r="G26" s="446">
        <v>0</v>
      </c>
      <c r="H26" s="446"/>
      <c r="I26" s="177">
        <f t="shared" si="1"/>
        <v>0</v>
      </c>
      <c r="J26" s="177">
        <f t="shared" si="2"/>
        <v>0</v>
      </c>
      <c r="K26" s="42"/>
    </row>
    <row r="27" spans="1:11" s="220" customFormat="1" ht="12.75" customHeight="1" x14ac:dyDescent="0.3">
      <c r="A27" s="121" t="s">
        <v>23</v>
      </c>
      <c r="B27" s="449" t="s">
        <v>179</v>
      </c>
      <c r="C27" s="208">
        <v>326000000</v>
      </c>
      <c r="D27" s="208">
        <v>243572573</v>
      </c>
      <c r="E27" s="208">
        <v>0</v>
      </c>
      <c r="F27" s="208"/>
      <c r="G27" s="208">
        <v>0</v>
      </c>
      <c r="H27" s="208"/>
      <c r="I27" s="177">
        <f t="shared" si="1"/>
        <v>326000000</v>
      </c>
      <c r="J27" s="177">
        <f t="shared" si="2"/>
        <v>243572573</v>
      </c>
      <c r="K27" s="426"/>
    </row>
    <row r="28" spans="1:11" ht="12.75" customHeight="1" x14ac:dyDescent="0.3">
      <c r="A28" s="40" t="s">
        <v>24</v>
      </c>
      <c r="B28" s="444" t="s">
        <v>97</v>
      </c>
      <c r="C28" s="446">
        <v>0</v>
      </c>
      <c r="D28" s="446"/>
      <c r="E28" s="446">
        <v>0</v>
      </c>
      <c r="F28" s="446"/>
      <c r="G28" s="446">
        <v>0</v>
      </c>
      <c r="H28" s="446"/>
      <c r="I28" s="177">
        <f t="shared" si="1"/>
        <v>0</v>
      </c>
      <c r="J28" s="177">
        <f t="shared" si="2"/>
        <v>0</v>
      </c>
      <c r="K28" s="42"/>
    </row>
    <row r="29" spans="1:11" ht="12.75" customHeight="1" x14ac:dyDescent="0.3">
      <c r="A29" s="40"/>
      <c r="B29" s="444" t="s">
        <v>98</v>
      </c>
      <c r="C29" s="446">
        <v>0</v>
      </c>
      <c r="D29" s="446"/>
      <c r="E29" s="446">
        <v>0</v>
      </c>
      <c r="F29" s="446"/>
      <c r="G29" s="446">
        <v>0</v>
      </c>
      <c r="H29" s="446"/>
      <c r="I29" s="177">
        <f t="shared" si="1"/>
        <v>0</v>
      </c>
      <c r="J29" s="177">
        <f t="shared" si="2"/>
        <v>0</v>
      </c>
      <c r="K29" s="42"/>
    </row>
    <row r="30" spans="1:11" ht="12.75" customHeight="1" x14ac:dyDescent="0.3">
      <c r="A30" s="171"/>
      <c r="B30" s="23" t="s">
        <v>245</v>
      </c>
      <c r="C30" s="182">
        <v>0</v>
      </c>
      <c r="D30" s="182"/>
      <c r="E30" s="1"/>
      <c r="F30" s="1"/>
      <c r="G30" s="1"/>
      <c r="H30" s="1"/>
      <c r="I30" s="177">
        <f t="shared" si="1"/>
        <v>0</v>
      </c>
      <c r="J30" s="177">
        <f t="shared" si="2"/>
        <v>0</v>
      </c>
      <c r="K30" s="42"/>
    </row>
    <row r="31" spans="1:11" ht="12.75" customHeight="1" x14ac:dyDescent="0.3">
      <c r="A31" s="40" t="s">
        <v>25</v>
      </c>
      <c r="B31" s="23" t="s">
        <v>99</v>
      </c>
      <c r="C31" s="65">
        <v>0</v>
      </c>
      <c r="D31" s="182"/>
      <c r="E31" s="65">
        <v>0</v>
      </c>
      <c r="F31" s="182"/>
      <c r="G31" s="65">
        <v>0</v>
      </c>
      <c r="H31" s="182"/>
      <c r="I31" s="177">
        <f t="shared" si="1"/>
        <v>0</v>
      </c>
      <c r="J31" s="177">
        <f t="shared" si="2"/>
        <v>0</v>
      </c>
      <c r="K31" s="42"/>
    </row>
    <row r="32" spans="1:11" ht="12.75" customHeight="1" x14ac:dyDescent="0.3">
      <c r="A32" s="40" t="s">
        <v>26</v>
      </c>
      <c r="B32" s="23" t="s">
        <v>100</v>
      </c>
      <c r="C32" s="65">
        <v>0</v>
      </c>
      <c r="D32" s="182"/>
      <c r="E32" s="65">
        <v>0</v>
      </c>
      <c r="F32" s="182"/>
      <c r="G32" s="65">
        <v>0</v>
      </c>
      <c r="H32" s="182"/>
      <c r="I32" s="177">
        <f t="shared" si="1"/>
        <v>0</v>
      </c>
      <c r="J32" s="177">
        <f t="shared" si="2"/>
        <v>0</v>
      </c>
      <c r="K32" s="42"/>
    </row>
    <row r="33" spans="1:12" s="220" customFormat="1" ht="12.75" customHeight="1" x14ac:dyDescent="0.3">
      <c r="A33" s="121" t="s">
        <v>27</v>
      </c>
      <c r="B33" s="195" t="s">
        <v>101</v>
      </c>
      <c r="C33" s="177">
        <f>C24+C26+C27+C28+C31+C32</f>
        <v>676000000</v>
      </c>
      <c r="D33" s="177">
        <f>D24+D26+D27+D28+D31+D32+D25</f>
        <v>893572573</v>
      </c>
      <c r="E33" s="177">
        <f>E24+E26+E27+E28+E31+E32</f>
        <v>0</v>
      </c>
      <c r="F33" s="177">
        <f>F24+F26+F27+F28+F31+F32</f>
        <v>0</v>
      </c>
      <c r="G33" s="177">
        <f>G24+G26+G27+G28+G31+G32</f>
        <v>0</v>
      </c>
      <c r="H33" s="177"/>
      <c r="I33" s="177">
        <f t="shared" si="0"/>
        <v>676000000</v>
      </c>
      <c r="J33" s="177">
        <f t="shared" si="0"/>
        <v>893572573</v>
      </c>
      <c r="K33" s="426"/>
    </row>
    <row r="34" spans="1:12" s="220" customFormat="1" ht="12.75" customHeight="1" x14ac:dyDescent="0.3">
      <c r="A34" s="121" t="s">
        <v>28</v>
      </c>
      <c r="B34" s="195" t="s">
        <v>102</v>
      </c>
      <c r="C34" s="177">
        <f>C23+C33</f>
        <v>3887651000</v>
      </c>
      <c r="D34" s="177">
        <f>D23+D33</f>
        <v>3589245010</v>
      </c>
      <c r="E34" s="177">
        <f>E23+E323</f>
        <v>99856000</v>
      </c>
      <c r="F34" s="177">
        <f>F23+F323</f>
        <v>98093500</v>
      </c>
      <c r="G34" s="177">
        <f>G23+G33</f>
        <v>0</v>
      </c>
      <c r="H34" s="177"/>
      <c r="I34" s="177">
        <f t="shared" si="0"/>
        <v>3987507000</v>
      </c>
      <c r="J34" s="177">
        <f t="shared" si="0"/>
        <v>3687338510</v>
      </c>
      <c r="K34" s="426"/>
    </row>
    <row r="35" spans="1:12" ht="12.75" customHeight="1" x14ac:dyDescent="0.3">
      <c r="A35" s="88"/>
      <c r="B35" s="27"/>
      <c r="C35" s="21"/>
      <c r="D35" s="177"/>
      <c r="E35" s="21"/>
      <c r="F35" s="177"/>
      <c r="G35" s="65"/>
      <c r="H35" s="182"/>
      <c r="I35" s="21"/>
      <c r="J35" s="177">
        <f>+J34-J62</f>
        <v>0</v>
      </c>
      <c r="K35" s="42"/>
    </row>
    <row r="36" spans="1:12" ht="28.5" customHeight="1" x14ac:dyDescent="0.3">
      <c r="B36" s="61" t="s">
        <v>6</v>
      </c>
      <c r="C36" s="62"/>
      <c r="D36" s="62"/>
      <c r="I36" s="64" t="s">
        <v>418</v>
      </c>
      <c r="J36" s="64"/>
    </row>
    <row r="37" spans="1:12" ht="60" x14ac:dyDescent="0.3">
      <c r="A37" s="438" t="s">
        <v>31</v>
      </c>
      <c r="B37" s="439" t="s">
        <v>32</v>
      </c>
      <c r="C37" s="439" t="s">
        <v>436</v>
      </c>
      <c r="D37" s="439" t="s">
        <v>440</v>
      </c>
      <c r="E37" s="439" t="s">
        <v>437</v>
      </c>
      <c r="F37" s="439" t="s">
        <v>441</v>
      </c>
      <c r="G37" s="439" t="s">
        <v>438</v>
      </c>
      <c r="H37" s="439" t="s">
        <v>442</v>
      </c>
      <c r="I37" s="439" t="s">
        <v>439</v>
      </c>
      <c r="J37" s="439" t="s">
        <v>443</v>
      </c>
      <c r="K37" s="42"/>
      <c r="L37" s="42"/>
    </row>
    <row r="38" spans="1:12" ht="12.75" customHeight="1" x14ac:dyDescent="0.3">
      <c r="A38" s="440" t="s">
        <v>12</v>
      </c>
      <c r="B38" s="441" t="s">
        <v>104</v>
      </c>
      <c r="C38" s="442">
        <f>C39+C40+C41+C42+C43+C47</f>
        <v>1134218000</v>
      </c>
      <c r="D38" s="442">
        <f>D39+D40+D41+D42+D43+D47</f>
        <v>1152594179</v>
      </c>
      <c r="E38" s="442">
        <f>E39+E40+E41+E42+E43+E47</f>
        <v>99856000</v>
      </c>
      <c r="F38" s="442">
        <f>F39+F40+F41+F42+F43+F47</f>
        <v>98093500</v>
      </c>
      <c r="G38" s="442">
        <f>G39+G40+G41+G42+G43+G47</f>
        <v>0</v>
      </c>
      <c r="H38" s="442"/>
      <c r="I38" s="208">
        <f>C38+E38+G38</f>
        <v>1234074000</v>
      </c>
      <c r="J38" s="208">
        <f>D38+F38+H38</f>
        <v>1250687679</v>
      </c>
    </row>
    <row r="39" spans="1:12" ht="12.75" customHeight="1" x14ac:dyDescent="0.3">
      <c r="A39" s="443" t="s">
        <v>60</v>
      </c>
      <c r="B39" s="444" t="s">
        <v>7</v>
      </c>
      <c r="C39" s="445">
        <v>76434000</v>
      </c>
      <c r="D39" s="445">
        <f>83334000+20000000</f>
        <v>103334000</v>
      </c>
      <c r="E39" s="445">
        <v>0</v>
      </c>
      <c r="F39" s="445">
        <v>0</v>
      </c>
      <c r="G39" s="445">
        <v>0</v>
      </c>
      <c r="H39" s="445"/>
      <c r="I39" s="208">
        <f t="shared" ref="I39:J54" si="3">C39+E39+G39</f>
        <v>76434000</v>
      </c>
      <c r="J39" s="208">
        <f t="shared" si="3"/>
        <v>103334000</v>
      </c>
      <c r="K39" s="49"/>
    </row>
    <row r="40" spans="1:12" ht="12.75" customHeight="1" x14ac:dyDescent="0.3">
      <c r="A40" s="443" t="s">
        <v>61</v>
      </c>
      <c r="B40" s="444" t="s">
        <v>108</v>
      </c>
      <c r="C40" s="445">
        <v>13644000</v>
      </c>
      <c r="D40" s="445">
        <f>16144000+3000000</f>
        <v>19144000</v>
      </c>
      <c r="E40" s="445">
        <v>0</v>
      </c>
      <c r="F40" s="445">
        <v>0</v>
      </c>
      <c r="G40" s="445">
        <v>0</v>
      </c>
      <c r="H40" s="445"/>
      <c r="I40" s="208">
        <f t="shared" si="3"/>
        <v>13644000</v>
      </c>
      <c r="J40" s="208">
        <f t="shared" si="3"/>
        <v>19144000</v>
      </c>
    </row>
    <row r="41" spans="1:12" ht="12.75" customHeight="1" x14ac:dyDescent="0.3">
      <c r="A41" s="443" t="s">
        <v>62</v>
      </c>
      <c r="B41" s="444" t="s">
        <v>109</v>
      </c>
      <c r="C41" s="446">
        <v>444202000</v>
      </c>
      <c r="D41" s="446">
        <v>449488459</v>
      </c>
      <c r="E41" s="445">
        <v>0</v>
      </c>
      <c r="F41" s="445">
        <v>0</v>
      </c>
      <c r="G41" s="445">
        <v>0</v>
      </c>
      <c r="H41" s="445"/>
      <c r="I41" s="208">
        <f t="shared" si="3"/>
        <v>444202000</v>
      </c>
      <c r="J41" s="208">
        <f t="shared" si="3"/>
        <v>449488459</v>
      </c>
    </row>
    <row r="42" spans="1:12" ht="12.75" customHeight="1" x14ac:dyDescent="0.3">
      <c r="A42" s="443" t="s">
        <v>63</v>
      </c>
      <c r="B42" s="444" t="s">
        <v>110</v>
      </c>
      <c r="C42" s="445">
        <v>0</v>
      </c>
      <c r="D42" s="445"/>
      <c r="E42" s="445">
        <v>17000000</v>
      </c>
      <c r="F42" s="445">
        <f>17000000+2237500</f>
        <v>19237500</v>
      </c>
      <c r="G42" s="445">
        <v>0</v>
      </c>
      <c r="H42" s="445"/>
      <c r="I42" s="208">
        <f t="shared" si="3"/>
        <v>17000000</v>
      </c>
      <c r="J42" s="208">
        <f t="shared" si="3"/>
        <v>19237500</v>
      </c>
    </row>
    <row r="43" spans="1:12" ht="12.75" customHeight="1" x14ac:dyDescent="0.3">
      <c r="A43" s="443" t="s">
        <v>64</v>
      </c>
      <c r="B43" s="444" t="s">
        <v>111</v>
      </c>
      <c r="C43" s="445">
        <f>C45+C46+C44</f>
        <v>485938000</v>
      </c>
      <c r="D43" s="445">
        <f>D45+D46+D44</f>
        <v>485938000</v>
      </c>
      <c r="E43" s="445">
        <f>E45+E46</f>
        <v>82856000</v>
      </c>
      <c r="F43" s="445">
        <f>F45+F46</f>
        <v>78856000</v>
      </c>
      <c r="G43" s="445">
        <f>G45+G46</f>
        <v>0</v>
      </c>
      <c r="H43" s="445"/>
      <c r="I43" s="208">
        <f t="shared" si="3"/>
        <v>568794000</v>
      </c>
      <c r="J43" s="208">
        <f t="shared" si="3"/>
        <v>564794000</v>
      </c>
      <c r="K43" s="42"/>
    </row>
    <row r="44" spans="1:12" ht="12.75" customHeight="1" x14ac:dyDescent="0.3">
      <c r="A44" s="447" t="s">
        <v>105</v>
      </c>
      <c r="B44" s="444" t="s">
        <v>399</v>
      </c>
      <c r="C44" s="445">
        <v>6755000</v>
      </c>
      <c r="D44" s="445">
        <v>6755000</v>
      </c>
      <c r="E44" s="12"/>
      <c r="F44" s="12"/>
      <c r="G44" s="12"/>
      <c r="H44" s="12"/>
      <c r="I44" s="208">
        <f t="shared" ref="I44:J46" si="4">C44+E44+G44</f>
        <v>6755000</v>
      </c>
      <c r="J44" s="208">
        <f t="shared" si="4"/>
        <v>6755000</v>
      </c>
    </row>
    <row r="45" spans="1:12" ht="12.75" customHeight="1" x14ac:dyDescent="0.3">
      <c r="A45" s="447" t="s">
        <v>106</v>
      </c>
      <c r="B45" s="444" t="s">
        <v>112</v>
      </c>
      <c r="C45" s="445">
        <v>241272000</v>
      </c>
      <c r="D45" s="445">
        <v>241272000</v>
      </c>
      <c r="E45" s="445">
        <v>49356000</v>
      </c>
      <c r="F45" s="445">
        <v>43756000</v>
      </c>
      <c r="G45" s="445">
        <v>0</v>
      </c>
      <c r="H45" s="445"/>
      <c r="I45" s="208">
        <f t="shared" si="4"/>
        <v>290628000</v>
      </c>
      <c r="J45" s="208">
        <f t="shared" si="4"/>
        <v>285028000</v>
      </c>
    </row>
    <row r="46" spans="1:12" s="221" customFormat="1" ht="12.75" customHeight="1" x14ac:dyDescent="0.3">
      <c r="A46" s="447" t="s">
        <v>398</v>
      </c>
      <c r="B46" s="444" t="s">
        <v>113</v>
      </c>
      <c r="C46" s="445">
        <v>237911000</v>
      </c>
      <c r="D46" s="445">
        <v>237911000</v>
      </c>
      <c r="E46" s="445">
        <v>33500000</v>
      </c>
      <c r="F46" s="445">
        <v>35100000</v>
      </c>
      <c r="G46" s="445">
        <v>0</v>
      </c>
      <c r="H46" s="445"/>
      <c r="I46" s="208">
        <f t="shared" si="4"/>
        <v>271411000</v>
      </c>
      <c r="J46" s="208">
        <f t="shared" si="4"/>
        <v>273011000</v>
      </c>
    </row>
    <row r="47" spans="1:12" ht="12.75" customHeight="1" x14ac:dyDescent="0.3">
      <c r="A47" s="447" t="s">
        <v>107</v>
      </c>
      <c r="B47" s="444" t="s">
        <v>9</v>
      </c>
      <c r="C47" s="445">
        <v>114000000</v>
      </c>
      <c r="D47" s="445">
        <v>94689720</v>
      </c>
      <c r="E47" s="445">
        <v>0</v>
      </c>
      <c r="F47" s="445">
        <v>0</v>
      </c>
      <c r="G47" s="445">
        <v>0</v>
      </c>
      <c r="H47" s="445"/>
      <c r="I47" s="208">
        <f t="shared" si="3"/>
        <v>114000000</v>
      </c>
      <c r="J47" s="208">
        <f t="shared" si="3"/>
        <v>94689720</v>
      </c>
    </row>
    <row r="48" spans="1:12" ht="12.75" customHeight="1" x14ac:dyDescent="0.3">
      <c r="A48" s="447"/>
      <c r="B48" s="444" t="s">
        <v>286</v>
      </c>
      <c r="C48" s="446">
        <v>87000000</v>
      </c>
      <c r="D48" s="446">
        <v>64886220</v>
      </c>
      <c r="E48" s="445">
        <v>0</v>
      </c>
      <c r="F48" s="445">
        <v>0</v>
      </c>
      <c r="G48" s="445"/>
      <c r="H48" s="445"/>
      <c r="I48" s="208">
        <f t="shared" si="3"/>
        <v>87000000</v>
      </c>
      <c r="J48" s="208">
        <f t="shared" si="3"/>
        <v>64886220</v>
      </c>
    </row>
    <row r="49" spans="1:11" ht="12.75" customHeight="1" x14ac:dyDescent="0.3">
      <c r="A49" s="447" t="s">
        <v>13</v>
      </c>
      <c r="B49" s="444" t="s">
        <v>114</v>
      </c>
      <c r="C49" s="445">
        <f>+C50+C51+C52</f>
        <v>1578828000</v>
      </c>
      <c r="D49" s="445">
        <f>+D50+D51+D52</f>
        <v>987655000</v>
      </c>
      <c r="E49" s="445">
        <f>E50+E51+E52</f>
        <v>0</v>
      </c>
      <c r="F49" s="445">
        <f>F50+F51+F52</f>
        <v>0</v>
      </c>
      <c r="G49" s="445">
        <f>G50+G51+G52</f>
        <v>0</v>
      </c>
      <c r="H49" s="445"/>
      <c r="I49" s="208">
        <f t="shared" si="3"/>
        <v>1578828000</v>
      </c>
      <c r="J49" s="208">
        <f t="shared" si="3"/>
        <v>987655000</v>
      </c>
    </row>
    <row r="50" spans="1:11" ht="12.75" customHeight="1" x14ac:dyDescent="0.3">
      <c r="A50" s="447" t="s">
        <v>55</v>
      </c>
      <c r="B50" s="444" t="s">
        <v>10</v>
      </c>
      <c r="C50" s="445">
        <v>1453828000</v>
      </c>
      <c r="D50" s="445">
        <v>794140000</v>
      </c>
      <c r="E50" s="445">
        <v>0</v>
      </c>
      <c r="F50" s="445">
        <v>0</v>
      </c>
      <c r="G50" s="445">
        <v>0</v>
      </c>
      <c r="H50" s="445"/>
      <c r="I50" s="208">
        <f t="shared" si="3"/>
        <v>1453828000</v>
      </c>
      <c r="J50" s="208">
        <f t="shared" si="3"/>
        <v>794140000</v>
      </c>
      <c r="K50" s="49"/>
    </row>
    <row r="51" spans="1:11" ht="12.75" customHeight="1" x14ac:dyDescent="0.3">
      <c r="A51" s="447" t="s">
        <v>56</v>
      </c>
      <c r="B51" s="444" t="s">
        <v>11</v>
      </c>
      <c r="C51" s="446">
        <v>125000000</v>
      </c>
      <c r="D51" s="446">
        <v>193515000</v>
      </c>
      <c r="E51" s="445">
        <v>0</v>
      </c>
      <c r="F51" s="445">
        <v>0</v>
      </c>
      <c r="G51" s="445">
        <v>0</v>
      </c>
      <c r="H51" s="445"/>
      <c r="I51" s="208">
        <f t="shared" si="3"/>
        <v>125000000</v>
      </c>
      <c r="J51" s="208">
        <f t="shared" si="3"/>
        <v>193515000</v>
      </c>
    </row>
    <row r="52" spans="1:11" ht="12.75" customHeight="1" x14ac:dyDescent="0.3">
      <c r="A52" s="447" t="s">
        <v>65</v>
      </c>
      <c r="B52" s="444" t="s">
        <v>115</v>
      </c>
      <c r="C52" s="445">
        <v>0</v>
      </c>
      <c r="D52" s="445">
        <v>0</v>
      </c>
      <c r="E52" s="445">
        <v>0</v>
      </c>
      <c r="F52" s="445">
        <v>0</v>
      </c>
      <c r="G52" s="445">
        <v>0</v>
      </c>
      <c r="H52" s="445"/>
      <c r="I52" s="208">
        <f t="shared" si="3"/>
        <v>0</v>
      </c>
      <c r="J52" s="208">
        <f t="shared" si="3"/>
        <v>0</v>
      </c>
    </row>
    <row r="53" spans="1:11" s="220" customFormat="1" ht="12.75" customHeight="1" x14ac:dyDescent="0.3">
      <c r="A53" s="448" t="s">
        <v>14</v>
      </c>
      <c r="B53" s="449" t="s">
        <v>116</v>
      </c>
      <c r="C53" s="208">
        <f>C38+C49</f>
        <v>2713046000</v>
      </c>
      <c r="D53" s="208">
        <f>D38+D49</f>
        <v>2140249179</v>
      </c>
      <c r="E53" s="208">
        <f>E38+E49</f>
        <v>99856000</v>
      </c>
      <c r="F53" s="208">
        <f>F38+F49</f>
        <v>98093500</v>
      </c>
      <c r="G53" s="208">
        <f>G38+G49</f>
        <v>0</v>
      </c>
      <c r="H53" s="208"/>
      <c r="I53" s="208">
        <f t="shared" si="3"/>
        <v>2812902000</v>
      </c>
      <c r="J53" s="208">
        <f t="shared" si="3"/>
        <v>2238342679</v>
      </c>
      <c r="K53" s="426"/>
    </row>
    <row r="54" spans="1:11" ht="12.75" customHeight="1" x14ac:dyDescent="0.3">
      <c r="A54" s="443" t="s">
        <v>15</v>
      </c>
      <c r="B54" s="444" t="s">
        <v>447</v>
      </c>
      <c r="C54" s="445">
        <v>61368000</v>
      </c>
      <c r="D54" s="445">
        <v>46152000</v>
      </c>
      <c r="E54" s="445">
        <v>0</v>
      </c>
      <c r="F54" s="445"/>
      <c r="G54" s="445">
        <v>0</v>
      </c>
      <c r="H54" s="445"/>
      <c r="I54" s="208">
        <f t="shared" si="3"/>
        <v>61368000</v>
      </c>
      <c r="J54" s="208">
        <f t="shared" si="3"/>
        <v>46152000</v>
      </c>
      <c r="K54" s="42"/>
    </row>
    <row r="55" spans="1:11" s="221" customFormat="1" ht="12.75" customHeight="1" x14ac:dyDescent="0.3">
      <c r="A55" s="443" t="s">
        <v>22</v>
      </c>
      <c r="B55" s="444" t="s">
        <v>448</v>
      </c>
      <c r="C55" s="446">
        <v>0</v>
      </c>
      <c r="D55" s="446">
        <v>300000000</v>
      </c>
      <c r="E55" s="446">
        <v>0</v>
      </c>
      <c r="F55" s="446">
        <v>0</v>
      </c>
      <c r="G55" s="446"/>
      <c r="H55" s="446"/>
      <c r="I55" s="208">
        <f t="shared" ref="I55:I60" si="5">C55+E55+G55</f>
        <v>0</v>
      </c>
      <c r="J55" s="208">
        <f t="shared" ref="J55:J60" si="6">D55+F55+H55</f>
        <v>300000000</v>
      </c>
      <c r="K55" s="42"/>
    </row>
    <row r="56" spans="1:11" ht="12.75" customHeight="1" x14ac:dyDescent="0.3">
      <c r="A56" s="443" t="s">
        <v>16</v>
      </c>
      <c r="B56" s="444" t="s">
        <v>367</v>
      </c>
      <c r="C56" s="445">
        <v>32301000</v>
      </c>
      <c r="D56" s="445">
        <v>32462142</v>
      </c>
      <c r="E56" s="445">
        <v>0</v>
      </c>
      <c r="F56" s="445"/>
      <c r="G56" s="445">
        <v>0</v>
      </c>
      <c r="H56" s="445"/>
      <c r="I56" s="208">
        <f t="shared" si="5"/>
        <v>32301000</v>
      </c>
      <c r="J56" s="208">
        <f t="shared" si="6"/>
        <v>32462142</v>
      </c>
    </row>
    <row r="57" spans="1:11" ht="12.75" customHeight="1" x14ac:dyDescent="0.3">
      <c r="A57" s="443" t="s">
        <v>17</v>
      </c>
      <c r="B57" s="444" t="s">
        <v>119</v>
      </c>
      <c r="C57" s="445">
        <v>0</v>
      </c>
      <c r="D57" s="445">
        <v>0</v>
      </c>
      <c r="E57" s="445">
        <v>0</v>
      </c>
      <c r="F57" s="445"/>
      <c r="G57" s="445">
        <v>0</v>
      </c>
      <c r="H57" s="445"/>
      <c r="I57" s="208">
        <f t="shared" si="5"/>
        <v>0</v>
      </c>
      <c r="J57" s="208">
        <f t="shared" si="6"/>
        <v>0</v>
      </c>
    </row>
    <row r="58" spans="1:11" ht="12.75" customHeight="1" x14ac:dyDescent="0.3">
      <c r="A58" s="443"/>
      <c r="B58" s="444" t="s">
        <v>247</v>
      </c>
      <c r="C58" s="445">
        <v>1080936000</v>
      </c>
      <c r="D58" s="445">
        <v>1070381689</v>
      </c>
      <c r="E58" s="445">
        <v>0</v>
      </c>
      <c r="F58" s="445"/>
      <c r="G58" s="445">
        <v>0</v>
      </c>
      <c r="H58" s="445"/>
      <c r="I58" s="208">
        <f t="shared" si="5"/>
        <v>1080936000</v>
      </c>
      <c r="J58" s="208">
        <f t="shared" si="6"/>
        <v>1070381689</v>
      </c>
    </row>
    <row r="59" spans="1:11" ht="12.75" customHeight="1" x14ac:dyDescent="0.3">
      <c r="A59" s="450"/>
      <c r="B59" s="444" t="s">
        <v>246</v>
      </c>
      <c r="C59" s="445">
        <v>0</v>
      </c>
      <c r="D59" s="445">
        <v>0</v>
      </c>
      <c r="E59" s="445">
        <v>0</v>
      </c>
      <c r="F59" s="451"/>
      <c r="G59" s="451"/>
      <c r="H59" s="451"/>
      <c r="I59" s="208">
        <f t="shared" si="5"/>
        <v>0</v>
      </c>
      <c r="J59" s="208">
        <f t="shared" si="6"/>
        <v>0</v>
      </c>
    </row>
    <row r="60" spans="1:11" ht="12.75" customHeight="1" x14ac:dyDescent="0.3">
      <c r="A60" s="443" t="s">
        <v>18</v>
      </c>
      <c r="B60" s="444" t="s">
        <v>121</v>
      </c>
      <c r="C60" s="445">
        <v>0</v>
      </c>
      <c r="D60" s="445">
        <v>0</v>
      </c>
      <c r="E60" s="445">
        <v>0</v>
      </c>
      <c r="F60" s="445"/>
      <c r="G60" s="445">
        <v>0</v>
      </c>
      <c r="H60" s="445"/>
      <c r="I60" s="208">
        <f t="shared" si="5"/>
        <v>0</v>
      </c>
      <c r="J60" s="208">
        <f t="shared" si="6"/>
        <v>0</v>
      </c>
    </row>
    <row r="61" spans="1:11" s="220" customFormat="1" ht="12.75" customHeight="1" x14ac:dyDescent="0.3">
      <c r="A61" s="452" t="s">
        <v>19</v>
      </c>
      <c r="B61" s="449" t="s">
        <v>122</v>
      </c>
      <c r="C61" s="208">
        <f>SUM(C54:C60)</f>
        <v>1174605000</v>
      </c>
      <c r="D61" s="208">
        <f>SUM(D54:D60)</f>
        <v>1448995831</v>
      </c>
      <c r="E61" s="208">
        <f>E54+E56+E57+E60</f>
        <v>0</v>
      </c>
      <c r="F61" s="208">
        <f>F54+F56+F57+F60</f>
        <v>0</v>
      </c>
      <c r="G61" s="208">
        <f>G54+G56+G57+G60</f>
        <v>0</v>
      </c>
      <c r="H61" s="208"/>
      <c r="I61" s="208">
        <f t="shared" ref="I61:J62" si="7">C61+E61+G61</f>
        <v>1174605000</v>
      </c>
      <c r="J61" s="208">
        <f t="shared" si="7"/>
        <v>1448995831</v>
      </c>
      <c r="K61" s="426"/>
    </row>
    <row r="62" spans="1:11" s="220" customFormat="1" ht="12.75" customHeight="1" x14ac:dyDescent="0.3">
      <c r="A62" s="452" t="s">
        <v>20</v>
      </c>
      <c r="B62" s="449" t="s">
        <v>123</v>
      </c>
      <c r="C62" s="208">
        <f>C53+C61</f>
        <v>3887651000</v>
      </c>
      <c r="D62" s="208">
        <f>D53+D61</f>
        <v>3589245010</v>
      </c>
      <c r="E62" s="208">
        <f>E53+E61</f>
        <v>99856000</v>
      </c>
      <c r="F62" s="208">
        <f>F53+F61</f>
        <v>98093500</v>
      </c>
      <c r="G62" s="208">
        <f>G53+G61</f>
        <v>0</v>
      </c>
      <c r="H62" s="208"/>
      <c r="I62" s="208">
        <f t="shared" si="7"/>
        <v>3987507000</v>
      </c>
      <c r="J62" s="208">
        <f t="shared" si="7"/>
        <v>3687338510</v>
      </c>
    </row>
    <row r="63" spans="1:11" ht="12.75" customHeight="1" x14ac:dyDescent="0.3">
      <c r="A63" s="443"/>
      <c r="B63" s="453"/>
      <c r="C63" s="445"/>
      <c r="D63" s="445"/>
      <c r="E63" s="445"/>
      <c r="F63" s="445"/>
      <c r="G63" s="445"/>
      <c r="H63" s="445"/>
      <c r="I63" s="454"/>
      <c r="J63" s="454"/>
    </row>
    <row r="64" spans="1:11" ht="12.75" customHeight="1" x14ac:dyDescent="0.3">
      <c r="A64" s="443"/>
      <c r="B64" s="455"/>
      <c r="C64" s="456"/>
      <c r="D64" s="456"/>
      <c r="E64" s="456"/>
      <c r="F64" s="456"/>
      <c r="G64" s="456"/>
      <c r="H64" s="456"/>
      <c r="I64" s="454"/>
      <c r="J64" s="208"/>
    </row>
    <row r="65" spans="1:10" ht="12.75" customHeight="1" x14ac:dyDescent="0.3">
      <c r="A65" s="447"/>
      <c r="B65" s="457"/>
      <c r="C65" s="458"/>
      <c r="D65" s="458"/>
      <c r="E65" s="458"/>
      <c r="F65" s="458"/>
      <c r="G65" s="459"/>
      <c r="H65" s="459"/>
      <c r="I65" s="458"/>
      <c r="J65" s="458"/>
    </row>
    <row r="66" spans="1:10" x14ac:dyDescent="0.3">
      <c r="A66" s="8"/>
      <c r="B66" s="9"/>
      <c r="C66" s="26">
        <f>+C62-C34</f>
        <v>0</v>
      </c>
      <c r="D66" s="67">
        <f t="shared" ref="D66:J66" si="8">+D62-D34</f>
        <v>0</v>
      </c>
      <c r="E66" s="67">
        <f t="shared" si="8"/>
        <v>0</v>
      </c>
      <c r="F66" s="67">
        <f t="shared" si="8"/>
        <v>0</v>
      </c>
      <c r="G66" s="67">
        <f t="shared" si="8"/>
        <v>0</v>
      </c>
      <c r="H66" s="67">
        <f t="shared" si="8"/>
        <v>0</v>
      </c>
      <c r="I66" s="67">
        <f t="shared" si="8"/>
        <v>0</v>
      </c>
      <c r="J66" s="67">
        <f t="shared" si="8"/>
        <v>0</v>
      </c>
    </row>
    <row r="67" spans="1:10" x14ac:dyDescent="0.3">
      <c r="A67" s="8"/>
      <c r="B67" s="24"/>
      <c r="C67" s="25"/>
      <c r="D67" s="25"/>
    </row>
    <row r="68" spans="1:10" x14ac:dyDescent="0.3">
      <c r="A68" s="8"/>
      <c r="B68" s="24"/>
      <c r="C68" s="25"/>
      <c r="D68" s="25"/>
    </row>
    <row r="69" spans="1:10" ht="30" customHeight="1" x14ac:dyDescent="0.3">
      <c r="A69" s="11"/>
      <c r="B69" s="28"/>
      <c r="C69" s="29"/>
      <c r="D69" s="173"/>
      <c r="E69" s="12"/>
      <c r="F69" s="12"/>
      <c r="G69" s="12"/>
      <c r="H69" s="12"/>
    </row>
    <row r="70" spans="1:10" x14ac:dyDescent="0.3">
      <c r="A70" s="11"/>
      <c r="B70" s="30"/>
      <c r="C70" s="31"/>
      <c r="D70" s="31"/>
      <c r="E70" s="12"/>
      <c r="F70" s="12"/>
      <c r="G70" s="12"/>
      <c r="H70" s="12"/>
    </row>
    <row r="71" spans="1:10" x14ac:dyDescent="0.3">
      <c r="A71" s="11"/>
      <c r="B71" s="28"/>
      <c r="C71" s="32"/>
      <c r="D71" s="32"/>
      <c r="E71" s="12"/>
      <c r="F71" s="12"/>
      <c r="G71" s="12"/>
      <c r="H71" s="12"/>
    </row>
    <row r="72" spans="1:10" x14ac:dyDescent="0.3">
      <c r="A72" s="11"/>
      <c r="B72" s="28"/>
      <c r="C72" s="32"/>
      <c r="D72" s="32"/>
      <c r="E72" s="12"/>
      <c r="F72" s="12"/>
      <c r="G72" s="12"/>
      <c r="H72" s="12"/>
    </row>
    <row r="73" spans="1:10" x14ac:dyDescent="0.3">
      <c r="A73" s="8"/>
      <c r="B73" s="9"/>
      <c r="C73" s="10"/>
      <c r="D73" s="66"/>
    </row>
  </sheetData>
  <mergeCells count="3">
    <mergeCell ref="H1:J2"/>
    <mergeCell ref="C1:F1"/>
    <mergeCell ref="C2:F2"/>
  </mergeCells>
  <phoneticPr fontId="3" type="noConversion"/>
  <pageMargins left="0.31496062992125984" right="0.31496062992125984" top="0.19685039370078741" bottom="0.23622047244094491" header="0.23622047244094491" footer="0.23622047244094491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CP173"/>
  <sheetViews>
    <sheetView view="pageBreakPreview" topLeftCell="BL1" zoomScale="85" zoomScaleNormal="100" zoomScaleSheetLayoutView="85" workbookViewId="0">
      <pane ySplit="4" topLeftCell="A5" activePane="bottomLeft" state="frozen"/>
      <selection activeCell="D1" sqref="D1"/>
      <selection pane="bottomLeft" activeCell="BT1" sqref="BT1"/>
    </sheetView>
  </sheetViews>
  <sheetFormatPr defaultRowHeight="14.4" x14ac:dyDescent="0.3"/>
  <cols>
    <col min="1" max="1" width="7.6640625" customWidth="1"/>
    <col min="2" max="2" width="39.6640625" customWidth="1"/>
    <col min="3" max="3" width="10.5546875" customWidth="1"/>
    <col min="4" max="4" width="10.5546875" style="221" customWidth="1"/>
    <col min="5" max="5" width="10" customWidth="1"/>
    <col min="6" max="6" width="10" style="221" customWidth="1"/>
    <col min="8" max="8" width="8.88671875" style="221"/>
    <col min="9" max="9" width="10.33203125" customWidth="1"/>
    <col min="10" max="10" width="11.109375" style="221" bestFit="1" customWidth="1"/>
    <col min="11" max="11" width="7.6640625" customWidth="1"/>
    <col min="12" max="12" width="39.6640625" customWidth="1"/>
    <col min="13" max="13" width="10.5546875" customWidth="1"/>
    <col min="14" max="14" width="10.5546875" style="221" customWidth="1"/>
    <col min="15" max="15" width="10" customWidth="1"/>
    <col min="16" max="16" width="10" style="221" customWidth="1"/>
    <col min="18" max="18" width="10.33203125" customWidth="1"/>
    <col min="19" max="19" width="11.109375" style="221" bestFit="1" customWidth="1"/>
    <col min="20" max="20" width="9.33203125" bestFit="1" customWidth="1"/>
    <col min="21" max="21" width="7.6640625" style="221" customWidth="1"/>
    <col min="22" max="22" width="39.6640625" customWidth="1"/>
    <col min="23" max="23" width="10.5546875" customWidth="1"/>
    <col min="24" max="24" width="10.5546875" style="221" customWidth="1"/>
    <col min="25" max="25" width="10" customWidth="1"/>
    <col min="26" max="26" width="10" style="221" customWidth="1"/>
    <col min="28" max="28" width="8.88671875" style="221"/>
    <col min="29" max="29" width="10.33203125" customWidth="1"/>
    <col min="30" max="30" width="10.33203125" style="221" customWidth="1"/>
    <col min="31" max="31" width="7.6640625" customWidth="1"/>
    <col min="32" max="32" width="39.6640625" customWidth="1"/>
    <col min="33" max="33" width="10.5546875" customWidth="1"/>
    <col min="34" max="34" width="10.5546875" style="221" customWidth="1"/>
    <col min="35" max="35" width="10" customWidth="1"/>
    <col min="36" max="36" width="10" style="221" customWidth="1"/>
    <col min="38" max="38" width="8.88671875" style="221"/>
    <col min="39" max="39" width="10.33203125" customWidth="1"/>
    <col min="40" max="40" width="11.109375" style="221" bestFit="1" customWidth="1"/>
    <col min="41" max="41" width="7.6640625" customWidth="1"/>
    <col min="42" max="42" width="39.6640625" customWidth="1"/>
    <col min="43" max="43" width="10.5546875" customWidth="1"/>
    <col min="44" max="44" width="10.5546875" style="221" customWidth="1"/>
    <col min="45" max="45" width="10" customWidth="1"/>
    <col min="46" max="46" width="10" style="221" customWidth="1"/>
    <col min="48" max="48" width="8.88671875" style="221"/>
    <col min="49" max="49" width="10.33203125" customWidth="1"/>
    <col min="50" max="50" width="10.33203125" style="221" customWidth="1"/>
    <col min="51" max="51" width="7.6640625" customWidth="1"/>
    <col min="52" max="52" width="39.6640625" customWidth="1"/>
    <col min="53" max="53" width="10.5546875" customWidth="1"/>
    <col min="54" max="54" width="10.5546875" style="221" customWidth="1"/>
    <col min="55" max="55" width="10" customWidth="1"/>
    <col min="56" max="56" width="10" style="221" customWidth="1"/>
    <col min="58" max="58" width="8.88671875" style="221"/>
    <col min="59" max="59" width="10.33203125" customWidth="1"/>
    <col min="60" max="60" width="10.33203125" style="221" customWidth="1"/>
    <col min="61" max="61" width="7.6640625" customWidth="1"/>
    <col min="62" max="62" width="39.6640625" customWidth="1"/>
    <col min="63" max="63" width="10.5546875" customWidth="1"/>
    <col min="64" max="64" width="10.5546875" style="221" customWidth="1"/>
    <col min="65" max="65" width="10" customWidth="1"/>
    <col min="66" max="66" width="10" style="221" customWidth="1"/>
    <col min="68" max="68" width="8.88671875" style="221"/>
    <col min="69" max="69" width="12" customWidth="1"/>
    <col min="70" max="70" width="12" style="221" customWidth="1"/>
    <col min="71" max="71" width="7.6640625" style="221" customWidth="1"/>
    <col min="72" max="72" width="39.6640625" style="221" customWidth="1"/>
    <col min="73" max="74" width="10.5546875" style="221" customWidth="1"/>
    <col min="75" max="76" width="10" style="221" customWidth="1"/>
    <col min="77" max="77" width="8.6640625" style="221"/>
    <col min="78" max="78" width="8.88671875" style="221"/>
    <col min="79" max="80" width="12" style="221" customWidth="1"/>
    <col min="81" max="81" width="14.6640625" bestFit="1" customWidth="1"/>
    <col min="82" max="82" width="39.6640625" customWidth="1"/>
    <col min="83" max="83" width="13.88671875" bestFit="1" customWidth="1"/>
    <col min="84" max="84" width="13.88671875" style="221" bestFit="1" customWidth="1"/>
    <col min="85" max="85" width="6" bestFit="1" customWidth="1"/>
    <col min="86" max="86" width="6" style="221" customWidth="1"/>
    <col min="87" max="87" width="8" bestFit="1" customWidth="1"/>
    <col min="88" max="88" width="8" style="221" customWidth="1"/>
    <col min="89" max="90" width="13.88671875" bestFit="1" customWidth="1"/>
    <col min="92" max="92" width="10.33203125" customWidth="1"/>
  </cols>
  <sheetData>
    <row r="1" spans="1:94" s="12" customFormat="1" ht="30.45" customHeight="1" x14ac:dyDescent="0.3">
      <c r="B1" s="586" t="s">
        <v>545</v>
      </c>
      <c r="C1" s="645" t="s">
        <v>129</v>
      </c>
      <c r="D1" s="645"/>
      <c r="E1" s="645"/>
      <c r="F1" s="645"/>
      <c r="G1" s="222"/>
      <c r="H1" s="643" t="s">
        <v>519</v>
      </c>
      <c r="I1" s="643"/>
      <c r="J1" s="643"/>
      <c r="L1" s="586" t="s">
        <v>546</v>
      </c>
      <c r="M1" s="645" t="s">
        <v>130</v>
      </c>
      <c r="N1" s="645"/>
      <c r="O1" s="645"/>
      <c r="P1" s="645"/>
      <c r="Q1" s="222"/>
      <c r="R1" s="643" t="s">
        <v>520</v>
      </c>
      <c r="S1" s="643"/>
      <c r="T1" s="643"/>
      <c r="U1" s="617"/>
      <c r="V1" s="586" t="s">
        <v>547</v>
      </c>
      <c r="W1" s="645" t="s">
        <v>214</v>
      </c>
      <c r="X1" s="645"/>
      <c r="Y1" s="645"/>
      <c r="Z1" s="645"/>
      <c r="AA1" s="222"/>
      <c r="AB1" s="643" t="s">
        <v>521</v>
      </c>
      <c r="AC1" s="643"/>
      <c r="AD1" s="643"/>
      <c r="AF1" s="586" t="s">
        <v>548</v>
      </c>
      <c r="AG1" s="645" t="s">
        <v>131</v>
      </c>
      <c r="AH1" s="645"/>
      <c r="AI1" s="645"/>
      <c r="AJ1" s="645"/>
      <c r="AK1" s="222"/>
      <c r="AL1" s="643" t="s">
        <v>522</v>
      </c>
      <c r="AM1" s="643"/>
      <c r="AN1" s="643"/>
      <c r="AP1" s="586" t="s">
        <v>550</v>
      </c>
      <c r="AQ1" s="645" t="s">
        <v>132</v>
      </c>
      <c r="AR1" s="645"/>
      <c r="AS1" s="645"/>
      <c r="AT1" s="645"/>
      <c r="AU1" s="222"/>
      <c r="AV1" s="643" t="s">
        <v>523</v>
      </c>
      <c r="AW1" s="643"/>
      <c r="AX1" s="643"/>
      <c r="AZ1" s="586" t="s">
        <v>549</v>
      </c>
      <c r="BA1" s="645" t="s">
        <v>133</v>
      </c>
      <c r="BB1" s="645"/>
      <c r="BC1" s="645"/>
      <c r="BD1" s="645"/>
      <c r="BE1" s="222"/>
      <c r="BF1" s="643" t="s">
        <v>524</v>
      </c>
      <c r="BG1" s="643"/>
      <c r="BH1" s="643"/>
      <c r="BJ1" s="586" t="s">
        <v>551</v>
      </c>
      <c r="BK1" s="645" t="s">
        <v>44</v>
      </c>
      <c r="BL1" s="645"/>
      <c r="BM1" s="645"/>
      <c r="BN1" s="645"/>
      <c r="BO1" s="222"/>
      <c r="BP1" s="643" t="s">
        <v>525</v>
      </c>
      <c r="BQ1" s="643"/>
      <c r="BR1" s="643"/>
      <c r="BT1" s="586" t="s">
        <v>544</v>
      </c>
      <c r="BU1" s="645" t="s">
        <v>370</v>
      </c>
      <c r="BV1" s="645"/>
      <c r="BW1" s="645"/>
      <c r="BX1" s="645"/>
      <c r="BY1" s="222"/>
      <c r="BZ1" s="643" t="s">
        <v>346</v>
      </c>
      <c r="CA1" s="643"/>
      <c r="CB1" s="643"/>
      <c r="CC1" s="653"/>
      <c r="CD1" s="654"/>
      <c r="CE1" s="654"/>
      <c r="CF1" s="654"/>
      <c r="CG1" s="654"/>
      <c r="CH1" s="654"/>
      <c r="CI1" s="654"/>
      <c r="CJ1" s="654"/>
      <c r="CK1" s="654"/>
      <c r="CL1" s="651"/>
      <c r="CM1" s="652"/>
      <c r="CN1" s="652"/>
    </row>
    <row r="2" spans="1:94" ht="33" customHeight="1" x14ac:dyDescent="0.3">
      <c r="B2" s="223"/>
      <c r="C2" s="646" t="s">
        <v>345</v>
      </c>
      <c r="D2" s="646"/>
      <c r="E2" s="646"/>
      <c r="F2" s="646"/>
      <c r="G2" s="223"/>
      <c r="H2" s="223"/>
      <c r="I2" s="223"/>
      <c r="J2" s="404"/>
      <c r="L2" s="584"/>
      <c r="M2" s="646" t="s">
        <v>345</v>
      </c>
      <c r="N2" s="646"/>
      <c r="O2" s="646"/>
      <c r="P2" s="646"/>
      <c r="Q2" s="223"/>
      <c r="R2" s="223"/>
      <c r="S2" s="404"/>
      <c r="U2" s="615"/>
      <c r="V2" s="584"/>
      <c r="W2" s="646" t="s">
        <v>345</v>
      </c>
      <c r="X2" s="646"/>
      <c r="Y2" s="646"/>
      <c r="Z2" s="646"/>
      <c r="AA2" s="223"/>
      <c r="AB2" s="223"/>
      <c r="AC2" s="223"/>
      <c r="AD2" s="404"/>
      <c r="AF2" s="584"/>
      <c r="AG2" s="646" t="s">
        <v>345</v>
      </c>
      <c r="AH2" s="646"/>
      <c r="AI2" s="646"/>
      <c r="AJ2" s="646"/>
      <c r="AK2" s="223"/>
      <c r="AL2" s="223"/>
      <c r="AM2" s="223"/>
      <c r="AN2" s="404"/>
      <c r="AP2" s="584"/>
      <c r="AQ2" s="646" t="s">
        <v>345</v>
      </c>
      <c r="AR2" s="646"/>
      <c r="AS2" s="646"/>
      <c r="AT2" s="646"/>
      <c r="AU2" s="223"/>
      <c r="AV2" s="223"/>
      <c r="AW2" s="223"/>
      <c r="AX2" s="404"/>
      <c r="AZ2" s="584"/>
      <c r="BA2" s="646" t="s">
        <v>345</v>
      </c>
      <c r="BB2" s="646"/>
      <c r="BC2" s="646"/>
      <c r="BD2" s="646"/>
      <c r="BE2" s="223"/>
      <c r="BF2" s="223"/>
      <c r="BG2" s="223"/>
      <c r="BH2" s="410"/>
      <c r="BJ2" s="584"/>
      <c r="BK2" s="644" t="s">
        <v>345</v>
      </c>
      <c r="BL2" s="644"/>
      <c r="BM2" s="644"/>
      <c r="BN2" s="644"/>
      <c r="BO2" s="223"/>
      <c r="BP2" s="223"/>
      <c r="BQ2" s="223"/>
      <c r="BR2" s="410"/>
      <c r="BT2" s="584"/>
      <c r="BU2" s="646" t="s">
        <v>345</v>
      </c>
      <c r="BV2" s="646"/>
      <c r="BW2" s="646"/>
      <c r="BX2" s="646"/>
      <c r="BY2" s="223"/>
      <c r="BZ2" s="223"/>
      <c r="CA2" s="223"/>
      <c r="CB2" s="410"/>
      <c r="CC2" s="655"/>
      <c r="CD2" s="656"/>
      <c r="CE2" s="656"/>
      <c r="CF2" s="656"/>
      <c r="CG2" s="656"/>
      <c r="CH2" s="656"/>
      <c r="CI2" s="656"/>
      <c r="CJ2" s="656"/>
      <c r="CK2" s="656"/>
      <c r="CL2" s="652"/>
      <c r="CM2" s="652"/>
      <c r="CN2" s="652"/>
    </row>
    <row r="3" spans="1:94" ht="32.25" customHeight="1" x14ac:dyDescent="0.3">
      <c r="A3" s="89"/>
      <c r="B3" s="114" t="s">
        <v>43</v>
      </c>
      <c r="C3" s="115"/>
      <c r="D3" s="409"/>
      <c r="E3" s="64"/>
      <c r="F3" s="64"/>
      <c r="G3" s="647" t="s">
        <v>418</v>
      </c>
      <c r="H3" s="647"/>
      <c r="I3" s="648"/>
      <c r="J3" s="406"/>
      <c r="K3" s="89"/>
      <c r="L3" s="116" t="s">
        <v>43</v>
      </c>
      <c r="M3" s="120"/>
      <c r="N3" s="409"/>
      <c r="O3" s="64"/>
      <c r="P3" s="64"/>
      <c r="Q3" s="647" t="s">
        <v>418</v>
      </c>
      <c r="R3" s="648"/>
      <c r="S3" s="406"/>
      <c r="T3" s="89"/>
      <c r="U3" s="89"/>
      <c r="V3" s="161" t="s">
        <v>43</v>
      </c>
      <c r="W3" s="162"/>
      <c r="X3" s="409"/>
      <c r="Y3" s="64"/>
      <c r="Z3" s="64"/>
      <c r="AA3" s="647" t="s">
        <v>33</v>
      </c>
      <c r="AB3" s="647"/>
      <c r="AC3" s="648"/>
      <c r="AD3" s="406"/>
      <c r="AE3" s="89"/>
      <c r="AF3" s="116" t="s">
        <v>43</v>
      </c>
      <c r="AG3" s="120"/>
      <c r="AH3" s="409"/>
      <c r="AI3" s="64"/>
      <c r="AJ3" s="64"/>
      <c r="AK3" s="647" t="s">
        <v>418</v>
      </c>
      <c r="AL3" s="647"/>
      <c r="AM3" s="648"/>
      <c r="AN3" s="406"/>
      <c r="AO3" s="89"/>
      <c r="AP3" s="116" t="s">
        <v>43</v>
      </c>
      <c r="AQ3" s="120"/>
      <c r="AR3" s="409"/>
      <c r="AS3" s="64"/>
      <c r="AT3" s="64"/>
      <c r="AU3" s="647" t="s">
        <v>418</v>
      </c>
      <c r="AV3" s="647"/>
      <c r="AW3" s="648"/>
      <c r="AX3" s="406"/>
      <c r="AY3" s="89"/>
      <c r="AZ3" s="116" t="s">
        <v>43</v>
      </c>
      <c r="BA3" s="120"/>
      <c r="BB3" s="409"/>
      <c r="BC3" s="64"/>
      <c r="BD3" s="64"/>
      <c r="BE3" s="647" t="s">
        <v>418</v>
      </c>
      <c r="BF3" s="647"/>
      <c r="BG3" s="648"/>
      <c r="BH3" s="412"/>
      <c r="BI3" s="89"/>
      <c r="BJ3" s="116" t="s">
        <v>43</v>
      </c>
      <c r="BK3" s="120"/>
      <c r="BL3" s="413"/>
      <c r="BM3" s="64"/>
      <c r="BN3" s="64"/>
      <c r="BO3" s="647" t="s">
        <v>418</v>
      </c>
      <c r="BP3" s="647"/>
      <c r="BQ3" s="648"/>
      <c r="BR3" s="412"/>
      <c r="BS3" s="89"/>
      <c r="BT3" s="275" t="s">
        <v>43</v>
      </c>
      <c r="BU3" s="277"/>
      <c r="BV3" s="413"/>
      <c r="BW3" s="64"/>
      <c r="BX3" s="64"/>
      <c r="BY3" s="647" t="s">
        <v>418</v>
      </c>
      <c r="BZ3" s="647"/>
      <c r="CA3" s="648"/>
      <c r="CB3" s="412"/>
      <c r="CC3" s="117"/>
      <c r="CD3" s="119"/>
      <c r="CE3" s="164"/>
      <c r="CF3" s="168"/>
      <c r="CG3" s="164"/>
      <c r="CH3" s="168"/>
      <c r="CI3" s="164"/>
      <c r="CJ3" s="168"/>
      <c r="CK3" s="118"/>
      <c r="CL3" s="50"/>
      <c r="CM3" s="50"/>
      <c r="CN3" s="118"/>
    </row>
    <row r="4" spans="1:94" s="104" customFormat="1" ht="84" x14ac:dyDescent="0.3">
      <c r="A4" s="165" t="s">
        <v>31</v>
      </c>
      <c r="B4" s="166" t="s">
        <v>32</v>
      </c>
      <c r="C4" s="439" t="s">
        <v>436</v>
      </c>
      <c r="D4" s="439" t="s">
        <v>440</v>
      </c>
      <c r="E4" s="439" t="s">
        <v>437</v>
      </c>
      <c r="F4" s="439" t="s">
        <v>441</v>
      </c>
      <c r="G4" s="439" t="s">
        <v>438</v>
      </c>
      <c r="H4" s="439" t="s">
        <v>442</v>
      </c>
      <c r="I4" s="439" t="s">
        <v>439</v>
      </c>
      <c r="J4" s="284" t="s">
        <v>443</v>
      </c>
      <c r="K4" s="165" t="s">
        <v>31</v>
      </c>
      <c r="L4" s="166" t="s">
        <v>32</v>
      </c>
      <c r="M4" s="284" t="s">
        <v>436</v>
      </c>
      <c r="N4" s="284" t="s">
        <v>440</v>
      </c>
      <c r="O4" s="284" t="s">
        <v>437</v>
      </c>
      <c r="P4" s="284" t="s">
        <v>441</v>
      </c>
      <c r="Q4" s="284" t="s">
        <v>438</v>
      </c>
      <c r="R4" s="284" t="s">
        <v>442</v>
      </c>
      <c r="S4" s="284" t="s">
        <v>439</v>
      </c>
      <c r="T4" s="284" t="s">
        <v>443</v>
      </c>
      <c r="U4" s="165" t="s">
        <v>31</v>
      </c>
      <c r="V4" s="166" t="s">
        <v>32</v>
      </c>
      <c r="W4" s="284" t="s">
        <v>436</v>
      </c>
      <c r="X4" s="284" t="s">
        <v>440</v>
      </c>
      <c r="Y4" s="284" t="s">
        <v>437</v>
      </c>
      <c r="Z4" s="284" t="s">
        <v>441</v>
      </c>
      <c r="AA4" s="284" t="s">
        <v>438</v>
      </c>
      <c r="AB4" s="284" t="s">
        <v>442</v>
      </c>
      <c r="AC4" s="284" t="s">
        <v>439</v>
      </c>
      <c r="AD4" s="284" t="s">
        <v>443</v>
      </c>
      <c r="AE4" s="165" t="s">
        <v>31</v>
      </c>
      <c r="AF4" s="166" t="s">
        <v>32</v>
      </c>
      <c r="AG4" s="284" t="s">
        <v>436</v>
      </c>
      <c r="AH4" s="284" t="s">
        <v>440</v>
      </c>
      <c r="AI4" s="284" t="s">
        <v>437</v>
      </c>
      <c r="AJ4" s="284" t="s">
        <v>441</v>
      </c>
      <c r="AK4" s="284" t="s">
        <v>438</v>
      </c>
      <c r="AL4" s="284" t="s">
        <v>442</v>
      </c>
      <c r="AM4" s="284" t="s">
        <v>439</v>
      </c>
      <c r="AN4" s="284" t="s">
        <v>443</v>
      </c>
      <c r="AO4" s="165" t="s">
        <v>31</v>
      </c>
      <c r="AP4" s="166" t="s">
        <v>32</v>
      </c>
      <c r="AQ4" s="284" t="s">
        <v>436</v>
      </c>
      <c r="AR4" s="284" t="s">
        <v>440</v>
      </c>
      <c r="AS4" s="284" t="s">
        <v>437</v>
      </c>
      <c r="AT4" s="284" t="s">
        <v>441</v>
      </c>
      <c r="AU4" s="284" t="s">
        <v>438</v>
      </c>
      <c r="AV4" s="284" t="s">
        <v>442</v>
      </c>
      <c r="AW4" s="284" t="s">
        <v>439</v>
      </c>
      <c r="AX4" s="284" t="s">
        <v>443</v>
      </c>
      <c r="AY4" s="165" t="s">
        <v>31</v>
      </c>
      <c r="AZ4" s="166" t="s">
        <v>32</v>
      </c>
      <c r="BA4" s="284" t="s">
        <v>436</v>
      </c>
      <c r="BB4" s="284" t="s">
        <v>440</v>
      </c>
      <c r="BC4" s="284" t="s">
        <v>437</v>
      </c>
      <c r="BD4" s="284" t="s">
        <v>441</v>
      </c>
      <c r="BE4" s="284" t="s">
        <v>438</v>
      </c>
      <c r="BF4" s="284" t="s">
        <v>442</v>
      </c>
      <c r="BG4" s="284" t="s">
        <v>439</v>
      </c>
      <c r="BH4" s="284" t="s">
        <v>443</v>
      </c>
      <c r="BI4" s="165" t="s">
        <v>31</v>
      </c>
      <c r="BJ4" s="166" t="s">
        <v>32</v>
      </c>
      <c r="BK4" s="284" t="s">
        <v>436</v>
      </c>
      <c r="BL4" s="284" t="s">
        <v>440</v>
      </c>
      <c r="BM4" s="284" t="s">
        <v>437</v>
      </c>
      <c r="BN4" s="284" t="s">
        <v>441</v>
      </c>
      <c r="BO4" s="284" t="s">
        <v>438</v>
      </c>
      <c r="BP4" s="284" t="s">
        <v>442</v>
      </c>
      <c r="BQ4" s="284" t="s">
        <v>439</v>
      </c>
      <c r="BR4" s="284" t="s">
        <v>443</v>
      </c>
      <c r="BS4" s="165" t="s">
        <v>31</v>
      </c>
      <c r="BT4" s="166" t="s">
        <v>32</v>
      </c>
      <c r="BU4" s="284" t="s">
        <v>436</v>
      </c>
      <c r="BV4" s="284" t="s">
        <v>440</v>
      </c>
      <c r="BW4" s="284" t="s">
        <v>437</v>
      </c>
      <c r="BX4" s="284" t="s">
        <v>441</v>
      </c>
      <c r="BY4" s="284" t="s">
        <v>438</v>
      </c>
      <c r="BZ4" s="284" t="s">
        <v>442</v>
      </c>
      <c r="CA4" s="284" t="s">
        <v>439</v>
      </c>
      <c r="CB4" s="284" t="s">
        <v>443</v>
      </c>
      <c r="CC4" s="165" t="s">
        <v>31</v>
      </c>
      <c r="CD4" s="166" t="s">
        <v>32</v>
      </c>
      <c r="CE4" s="284" t="s">
        <v>436</v>
      </c>
      <c r="CF4" s="284" t="s">
        <v>440</v>
      </c>
      <c r="CG4" s="284" t="s">
        <v>437</v>
      </c>
      <c r="CH4" s="284" t="s">
        <v>441</v>
      </c>
      <c r="CI4" s="284" t="s">
        <v>438</v>
      </c>
      <c r="CJ4" s="284" t="s">
        <v>442</v>
      </c>
      <c r="CK4" s="284" t="s">
        <v>439</v>
      </c>
      <c r="CL4" s="284" t="s">
        <v>443</v>
      </c>
      <c r="CM4" s="54"/>
      <c r="CN4" s="53"/>
      <c r="CO4" s="53"/>
      <c r="CP4" s="53"/>
    </row>
    <row r="5" spans="1:94" ht="15" customHeight="1" x14ac:dyDescent="0.3">
      <c r="A5" s="40" t="s">
        <v>12</v>
      </c>
      <c r="B5" s="23" t="s">
        <v>80</v>
      </c>
      <c r="C5" s="446">
        <v>0</v>
      </c>
      <c r="D5" s="446">
        <v>0</v>
      </c>
      <c r="E5" s="446">
        <v>0</v>
      </c>
      <c r="F5" s="446">
        <v>0</v>
      </c>
      <c r="G5" s="446">
        <v>0</v>
      </c>
      <c r="H5" s="446">
        <v>0</v>
      </c>
      <c r="I5" s="208">
        <f>C5+E5+G5</f>
        <v>0</v>
      </c>
      <c r="J5" s="177">
        <f>D5+F5+H5</f>
        <v>0</v>
      </c>
      <c r="K5" s="40" t="s">
        <v>12</v>
      </c>
      <c r="L5" s="23" t="s">
        <v>80</v>
      </c>
      <c r="M5" s="65">
        <v>0</v>
      </c>
      <c r="N5" s="182">
        <v>0</v>
      </c>
      <c r="O5" s="65">
        <v>0</v>
      </c>
      <c r="P5" s="182">
        <v>0</v>
      </c>
      <c r="Q5" s="65">
        <v>0</v>
      </c>
      <c r="R5" s="182">
        <v>0</v>
      </c>
      <c r="S5" s="21">
        <f t="shared" ref="S5:S22" si="0">M5+O5+Q5</f>
        <v>0</v>
      </c>
      <c r="T5" s="177">
        <f t="shared" ref="T5:T22" si="1">N5+P5+R5</f>
        <v>0</v>
      </c>
      <c r="U5" s="40" t="s">
        <v>12</v>
      </c>
      <c r="V5" s="23" t="s">
        <v>80</v>
      </c>
      <c r="W5" s="65">
        <v>0</v>
      </c>
      <c r="X5" s="182">
        <v>0</v>
      </c>
      <c r="Y5" s="65">
        <v>0</v>
      </c>
      <c r="Z5" s="182">
        <v>0</v>
      </c>
      <c r="AA5" s="65">
        <v>0</v>
      </c>
      <c r="AB5" s="182">
        <v>0</v>
      </c>
      <c r="AC5" s="21">
        <f>W5+Y5+AA5</f>
        <v>0</v>
      </c>
      <c r="AD5" s="177">
        <f>X5+Z5+AB5</f>
        <v>0</v>
      </c>
      <c r="AE5" s="40" t="s">
        <v>12</v>
      </c>
      <c r="AF5" s="23" t="s">
        <v>80</v>
      </c>
      <c r="AG5" s="65">
        <v>0</v>
      </c>
      <c r="AH5" s="182">
        <v>0</v>
      </c>
      <c r="AI5" s="65">
        <v>0</v>
      </c>
      <c r="AJ5" s="182">
        <v>0</v>
      </c>
      <c r="AK5" s="65">
        <v>0</v>
      </c>
      <c r="AL5" s="182">
        <v>0</v>
      </c>
      <c r="AM5" s="21">
        <f>AG5+AI5+AK5</f>
        <v>0</v>
      </c>
      <c r="AN5" s="177">
        <f>AH5+AJ5+AL5</f>
        <v>0</v>
      </c>
      <c r="AO5" s="40" t="s">
        <v>12</v>
      </c>
      <c r="AP5" s="23" t="s">
        <v>80</v>
      </c>
      <c r="AQ5" s="65">
        <v>0</v>
      </c>
      <c r="AR5" s="182">
        <v>0</v>
      </c>
      <c r="AS5" s="65">
        <v>0</v>
      </c>
      <c r="AT5" s="182">
        <v>0</v>
      </c>
      <c r="AU5" s="65">
        <v>0</v>
      </c>
      <c r="AV5" s="182">
        <v>0</v>
      </c>
      <c r="AW5" s="21">
        <f>AQ5+AS5+AU5</f>
        <v>0</v>
      </c>
      <c r="AX5" s="177">
        <f>AR5+AT5+AV5</f>
        <v>0</v>
      </c>
      <c r="AY5" s="40" t="s">
        <v>12</v>
      </c>
      <c r="AZ5" s="23" t="s">
        <v>80</v>
      </c>
      <c r="BA5" s="65">
        <v>0</v>
      </c>
      <c r="BB5" s="182">
        <v>0</v>
      </c>
      <c r="BC5" s="65">
        <v>0</v>
      </c>
      <c r="BD5" s="182">
        <v>0</v>
      </c>
      <c r="BE5" s="21">
        <v>0</v>
      </c>
      <c r="BF5" s="177">
        <v>0</v>
      </c>
      <c r="BG5" s="21">
        <f>BA5+BC5+BE5</f>
        <v>0</v>
      </c>
      <c r="BH5" s="177">
        <f>BB5+BD5+BF5</f>
        <v>0</v>
      </c>
      <c r="BI5" s="40" t="s">
        <v>12</v>
      </c>
      <c r="BJ5" s="23" t="s">
        <v>80</v>
      </c>
      <c r="BK5" s="182">
        <v>0</v>
      </c>
      <c r="BL5" s="182">
        <v>0</v>
      </c>
      <c r="BM5" s="182">
        <v>0</v>
      </c>
      <c r="BN5" s="182">
        <v>0</v>
      </c>
      <c r="BO5" s="182">
        <v>0</v>
      </c>
      <c r="BP5" s="182">
        <v>0</v>
      </c>
      <c r="BQ5" s="177">
        <f>BK5+BM5+BO5</f>
        <v>0</v>
      </c>
      <c r="BR5" s="177">
        <f>BL5+BN5+BP5</f>
        <v>0</v>
      </c>
      <c r="BS5" s="40" t="s">
        <v>12</v>
      </c>
      <c r="BT5" s="23" t="s">
        <v>80</v>
      </c>
      <c r="BU5" s="182">
        <v>0</v>
      </c>
      <c r="BV5" s="182">
        <v>0</v>
      </c>
      <c r="BW5" s="182">
        <v>0</v>
      </c>
      <c r="BX5" s="182">
        <v>0</v>
      </c>
      <c r="BY5" s="182">
        <v>0</v>
      </c>
      <c r="BZ5" s="182">
        <v>0</v>
      </c>
      <c r="CA5" s="177">
        <f>BU5+BW5+BY5</f>
        <v>0</v>
      </c>
      <c r="CB5" s="177">
        <f>BV5+BX5+BZ5</f>
        <v>0</v>
      </c>
      <c r="CC5" s="40" t="s">
        <v>12</v>
      </c>
      <c r="CD5" s="23" t="s">
        <v>80</v>
      </c>
      <c r="CE5" s="111">
        <f>+BK5+BA5+AQ5+AG5+W5+M5+C5+BU5</f>
        <v>0</v>
      </c>
      <c r="CF5" s="111">
        <f>+BL5+BB5+AR5+AH5+X5+N5+D5+BV5</f>
        <v>0</v>
      </c>
      <c r="CG5" s="111">
        <f>+BM5+BC5+AS5+AI5+Y5+O5+E5+BW5</f>
        <v>0</v>
      </c>
      <c r="CH5" s="111"/>
      <c r="CI5" s="111">
        <f>+BO5+BE5+AU5+AK5+AA5+Q5+G5+BY5</f>
        <v>0</v>
      </c>
      <c r="CJ5" s="111"/>
      <c r="CK5" s="111">
        <f t="shared" ref="CK5:CK22" si="2">+BQ5+BG5+AW5+AM5+AC5+S5+I5+CA5</f>
        <v>0</v>
      </c>
      <c r="CL5" s="111">
        <f t="shared" ref="CL5:CL22" si="3">+BR5+BH5+AX5+AN5+AD5+T5+J5+CB5</f>
        <v>0</v>
      </c>
      <c r="CM5" s="57"/>
      <c r="CN5" s="57"/>
      <c r="CO5" s="57"/>
      <c r="CP5" s="57"/>
    </row>
    <row r="6" spans="1:94" ht="15" customHeight="1" x14ac:dyDescent="0.3">
      <c r="A6" s="40" t="s">
        <v>13</v>
      </c>
      <c r="B6" s="23" t="s">
        <v>192</v>
      </c>
      <c r="C6" s="446">
        <v>0</v>
      </c>
      <c r="D6" s="446">
        <v>0</v>
      </c>
      <c r="E6" s="446">
        <v>0</v>
      </c>
      <c r="F6" s="446">
        <v>0</v>
      </c>
      <c r="G6" s="446">
        <v>0</v>
      </c>
      <c r="H6" s="446">
        <v>0</v>
      </c>
      <c r="I6" s="208">
        <f t="shared" ref="I6:J22" si="4">C6+E6+G6</f>
        <v>0</v>
      </c>
      <c r="J6" s="177">
        <f t="shared" si="4"/>
        <v>0</v>
      </c>
      <c r="K6" s="40" t="s">
        <v>13</v>
      </c>
      <c r="L6" s="23" t="s">
        <v>81</v>
      </c>
      <c r="M6" s="65">
        <v>0</v>
      </c>
      <c r="N6" s="182">
        <v>0</v>
      </c>
      <c r="O6" s="65">
        <v>0</v>
      </c>
      <c r="P6" s="182">
        <v>0</v>
      </c>
      <c r="Q6" s="65">
        <v>0</v>
      </c>
      <c r="R6" s="182">
        <v>0</v>
      </c>
      <c r="S6" s="21">
        <f t="shared" si="0"/>
        <v>0</v>
      </c>
      <c r="T6" s="177">
        <f t="shared" si="1"/>
        <v>0</v>
      </c>
      <c r="U6" s="40" t="s">
        <v>13</v>
      </c>
      <c r="V6" s="23" t="s">
        <v>81</v>
      </c>
      <c r="W6" s="65">
        <v>0</v>
      </c>
      <c r="X6" s="182">
        <v>0</v>
      </c>
      <c r="Y6" s="65">
        <v>0</v>
      </c>
      <c r="Z6" s="182">
        <v>0</v>
      </c>
      <c r="AA6" s="65">
        <v>0</v>
      </c>
      <c r="AB6" s="182">
        <v>0</v>
      </c>
      <c r="AC6" s="21">
        <f t="shared" ref="AC6:AD22" si="5">W6+Y6+AA6</f>
        <v>0</v>
      </c>
      <c r="AD6" s="177">
        <f t="shared" si="5"/>
        <v>0</v>
      </c>
      <c r="AE6" s="40" t="s">
        <v>13</v>
      </c>
      <c r="AF6" s="23" t="s">
        <v>81</v>
      </c>
      <c r="AG6" s="65">
        <v>0</v>
      </c>
      <c r="AH6" s="182">
        <v>0</v>
      </c>
      <c r="AI6" s="65">
        <v>0</v>
      </c>
      <c r="AJ6" s="182">
        <v>0</v>
      </c>
      <c r="AK6" s="65">
        <v>0</v>
      </c>
      <c r="AL6" s="182">
        <v>0</v>
      </c>
      <c r="AM6" s="21">
        <f t="shared" ref="AM6:AN22" si="6">AG6+AI6+AK6</f>
        <v>0</v>
      </c>
      <c r="AN6" s="177">
        <f t="shared" si="6"/>
        <v>0</v>
      </c>
      <c r="AO6" s="40" t="s">
        <v>13</v>
      </c>
      <c r="AP6" s="23" t="s">
        <v>81</v>
      </c>
      <c r="AQ6" s="65">
        <v>0</v>
      </c>
      <c r="AR6" s="182">
        <v>0</v>
      </c>
      <c r="AS6" s="65">
        <v>0</v>
      </c>
      <c r="AT6" s="182">
        <v>0</v>
      </c>
      <c r="AU6" s="65">
        <v>0</v>
      </c>
      <c r="AV6" s="182">
        <v>0</v>
      </c>
      <c r="AW6" s="21">
        <f t="shared" ref="AW6:AX22" si="7">AQ6+AS6+AU6</f>
        <v>0</v>
      </c>
      <c r="AX6" s="177">
        <f t="shared" si="7"/>
        <v>0</v>
      </c>
      <c r="AY6" s="40" t="s">
        <v>13</v>
      </c>
      <c r="AZ6" s="23" t="s">
        <v>81</v>
      </c>
      <c r="BA6" s="65">
        <v>4000000</v>
      </c>
      <c r="BB6" s="182">
        <v>4000000</v>
      </c>
      <c r="BC6" s="65">
        <v>0</v>
      </c>
      <c r="BD6" s="182">
        <v>0</v>
      </c>
      <c r="BE6" s="65">
        <v>0</v>
      </c>
      <c r="BF6" s="182">
        <v>0</v>
      </c>
      <c r="BG6" s="21">
        <f t="shared" ref="BG6:BH22" si="8">BA6+BC6+BE6</f>
        <v>4000000</v>
      </c>
      <c r="BH6" s="177">
        <f t="shared" si="8"/>
        <v>4000000</v>
      </c>
      <c r="BI6" s="40" t="s">
        <v>13</v>
      </c>
      <c r="BJ6" s="23" t="s">
        <v>81</v>
      </c>
      <c r="BK6" s="182">
        <v>0</v>
      </c>
      <c r="BL6" s="182">
        <v>0</v>
      </c>
      <c r="BM6" s="182">
        <v>0</v>
      </c>
      <c r="BN6" s="182">
        <v>0</v>
      </c>
      <c r="BO6" s="182">
        <v>0</v>
      </c>
      <c r="BP6" s="182">
        <v>0</v>
      </c>
      <c r="BQ6" s="177">
        <f t="shared" ref="BQ6:BR22" si="9">BK6+BM6+BO6</f>
        <v>0</v>
      </c>
      <c r="BR6" s="177">
        <f t="shared" si="9"/>
        <v>0</v>
      </c>
      <c r="BS6" s="40" t="s">
        <v>13</v>
      </c>
      <c r="BT6" s="23" t="s">
        <v>81</v>
      </c>
      <c r="BU6" s="182">
        <v>0</v>
      </c>
      <c r="BV6" s="182">
        <v>0</v>
      </c>
      <c r="BW6" s="182">
        <v>0</v>
      </c>
      <c r="BX6" s="182">
        <v>0</v>
      </c>
      <c r="BY6" s="182">
        <v>0</v>
      </c>
      <c r="BZ6" s="182">
        <v>0</v>
      </c>
      <c r="CA6" s="177">
        <f t="shared" ref="CA6:CB22" si="10">BU6+BW6+BY6</f>
        <v>0</v>
      </c>
      <c r="CB6" s="177">
        <f t="shared" si="10"/>
        <v>0</v>
      </c>
      <c r="CC6" s="40" t="s">
        <v>13</v>
      </c>
      <c r="CD6" s="23" t="s">
        <v>81</v>
      </c>
      <c r="CE6" s="111">
        <f t="shared" ref="CE6:CF22" si="11">+BK6+BA6+AQ6+AG6+W6+M6+C6+BU6</f>
        <v>4000000</v>
      </c>
      <c r="CF6" s="111">
        <f t="shared" si="11"/>
        <v>4000000</v>
      </c>
      <c r="CG6" s="111">
        <f t="shared" ref="CG6:CH22" si="12">+BM6+BC6+AS6+AI6+Y6+O6+E6+BW6</f>
        <v>0</v>
      </c>
      <c r="CH6" s="111"/>
      <c r="CI6" s="111">
        <f t="shared" ref="CI6:CJ22" si="13">+BO6+BE6+AU6+AK6+AA6+Q6+G6+BY6</f>
        <v>0</v>
      </c>
      <c r="CJ6" s="111"/>
      <c r="CK6" s="111">
        <f t="shared" si="2"/>
        <v>4000000</v>
      </c>
      <c r="CL6" s="111">
        <f t="shared" si="3"/>
        <v>4000000</v>
      </c>
      <c r="CM6" s="59"/>
      <c r="CN6" s="59"/>
      <c r="CO6" s="59"/>
      <c r="CP6" s="57"/>
    </row>
    <row r="7" spans="1:94" ht="15" customHeight="1" x14ac:dyDescent="0.3">
      <c r="A7" s="40" t="s">
        <v>14</v>
      </c>
      <c r="B7" s="23" t="s">
        <v>128</v>
      </c>
      <c r="C7" s="446">
        <v>0</v>
      </c>
      <c r="D7" s="446">
        <v>0</v>
      </c>
      <c r="E7" s="446">
        <v>0</v>
      </c>
      <c r="F7" s="446">
        <v>0</v>
      </c>
      <c r="G7" s="446">
        <v>0</v>
      </c>
      <c r="H7" s="446">
        <v>0</v>
      </c>
      <c r="I7" s="208">
        <f t="shared" si="4"/>
        <v>0</v>
      </c>
      <c r="J7" s="177">
        <f t="shared" si="4"/>
        <v>0</v>
      </c>
      <c r="K7" s="40" t="s">
        <v>14</v>
      </c>
      <c r="L7" s="23" t="s">
        <v>128</v>
      </c>
      <c r="M7" s="65">
        <v>0</v>
      </c>
      <c r="N7" s="182">
        <v>0</v>
      </c>
      <c r="O7" s="65">
        <v>0</v>
      </c>
      <c r="P7" s="182">
        <v>0</v>
      </c>
      <c r="Q7" s="65">
        <v>0</v>
      </c>
      <c r="R7" s="182">
        <v>0</v>
      </c>
      <c r="S7" s="21">
        <f t="shared" si="0"/>
        <v>0</v>
      </c>
      <c r="T7" s="177">
        <f t="shared" si="1"/>
        <v>0</v>
      </c>
      <c r="U7" s="40" t="s">
        <v>14</v>
      </c>
      <c r="V7" s="23" t="s">
        <v>128</v>
      </c>
      <c r="W7" s="65">
        <v>0</v>
      </c>
      <c r="X7" s="182">
        <v>0</v>
      </c>
      <c r="Y7" s="65">
        <v>0</v>
      </c>
      <c r="Z7" s="182">
        <v>0</v>
      </c>
      <c r="AA7" s="65">
        <v>0</v>
      </c>
      <c r="AB7" s="182">
        <v>0</v>
      </c>
      <c r="AC7" s="21">
        <f t="shared" si="5"/>
        <v>0</v>
      </c>
      <c r="AD7" s="177">
        <f t="shared" si="5"/>
        <v>0</v>
      </c>
      <c r="AE7" s="40" t="s">
        <v>14</v>
      </c>
      <c r="AF7" s="23" t="s">
        <v>128</v>
      </c>
      <c r="AG7" s="65">
        <v>0</v>
      </c>
      <c r="AH7" s="182">
        <v>0</v>
      </c>
      <c r="AI7" s="65">
        <v>0</v>
      </c>
      <c r="AJ7" s="182">
        <v>0</v>
      </c>
      <c r="AK7" s="65">
        <v>0</v>
      </c>
      <c r="AL7" s="182">
        <v>0</v>
      </c>
      <c r="AM7" s="21">
        <f t="shared" si="6"/>
        <v>0</v>
      </c>
      <c r="AN7" s="177">
        <f t="shared" si="6"/>
        <v>0</v>
      </c>
      <c r="AO7" s="40" t="s">
        <v>14</v>
      </c>
      <c r="AP7" s="23" t="s">
        <v>128</v>
      </c>
      <c r="AQ7" s="65">
        <v>0</v>
      </c>
      <c r="AR7" s="182">
        <v>0</v>
      </c>
      <c r="AS7" s="65">
        <v>0</v>
      </c>
      <c r="AT7" s="182">
        <v>0</v>
      </c>
      <c r="AU7" s="65">
        <v>0</v>
      </c>
      <c r="AV7" s="182">
        <v>0</v>
      </c>
      <c r="AW7" s="21">
        <f t="shared" si="7"/>
        <v>0</v>
      </c>
      <c r="AX7" s="177">
        <f t="shared" si="7"/>
        <v>0</v>
      </c>
      <c r="AY7" s="40" t="s">
        <v>14</v>
      </c>
      <c r="AZ7" s="23" t="s">
        <v>128</v>
      </c>
      <c r="BA7" s="65">
        <v>0</v>
      </c>
      <c r="BB7" s="182">
        <v>0</v>
      </c>
      <c r="BC7" s="65">
        <v>0</v>
      </c>
      <c r="BD7" s="182">
        <v>0</v>
      </c>
      <c r="BE7" s="65">
        <v>0</v>
      </c>
      <c r="BF7" s="182">
        <v>0</v>
      </c>
      <c r="BG7" s="21">
        <f t="shared" si="8"/>
        <v>0</v>
      </c>
      <c r="BH7" s="177">
        <f t="shared" si="8"/>
        <v>0</v>
      </c>
      <c r="BI7" s="40" t="s">
        <v>14</v>
      </c>
      <c r="BJ7" s="23" t="s">
        <v>128</v>
      </c>
      <c r="BK7" s="182">
        <v>0</v>
      </c>
      <c r="BL7" s="182">
        <v>0</v>
      </c>
      <c r="BM7" s="182">
        <v>0</v>
      </c>
      <c r="BN7" s="182">
        <v>0</v>
      </c>
      <c r="BO7" s="182">
        <v>0</v>
      </c>
      <c r="BP7" s="182">
        <v>0</v>
      </c>
      <c r="BQ7" s="177">
        <f t="shared" si="9"/>
        <v>0</v>
      </c>
      <c r="BR7" s="177">
        <f t="shared" si="9"/>
        <v>0</v>
      </c>
      <c r="BS7" s="40" t="s">
        <v>14</v>
      </c>
      <c r="BT7" s="23" t="s">
        <v>128</v>
      </c>
      <c r="BU7" s="182">
        <v>0</v>
      </c>
      <c r="BV7" s="182">
        <v>0</v>
      </c>
      <c r="BW7" s="182">
        <v>0</v>
      </c>
      <c r="BX7" s="182">
        <v>0</v>
      </c>
      <c r="BY7" s="182">
        <v>0</v>
      </c>
      <c r="BZ7" s="182">
        <v>0</v>
      </c>
      <c r="CA7" s="177">
        <f t="shared" si="10"/>
        <v>0</v>
      </c>
      <c r="CB7" s="177">
        <f t="shared" si="10"/>
        <v>0</v>
      </c>
      <c r="CC7" s="40" t="s">
        <v>14</v>
      </c>
      <c r="CD7" s="23" t="s">
        <v>128</v>
      </c>
      <c r="CE7" s="111">
        <f t="shared" si="11"/>
        <v>0</v>
      </c>
      <c r="CF7" s="111">
        <f t="shared" si="11"/>
        <v>0</v>
      </c>
      <c r="CG7" s="111">
        <f t="shared" si="12"/>
        <v>0</v>
      </c>
      <c r="CH7" s="111"/>
      <c r="CI7" s="111">
        <f t="shared" si="13"/>
        <v>0</v>
      </c>
      <c r="CJ7" s="111"/>
      <c r="CK7" s="111">
        <f t="shared" si="2"/>
        <v>0</v>
      </c>
      <c r="CL7" s="111">
        <f t="shared" si="3"/>
        <v>0</v>
      </c>
      <c r="CM7" s="59"/>
      <c r="CN7" s="59"/>
      <c r="CO7" s="59"/>
      <c r="CP7" s="57"/>
    </row>
    <row r="8" spans="1:94" ht="15" customHeight="1" x14ac:dyDescent="0.3">
      <c r="A8" s="40" t="s">
        <v>15</v>
      </c>
      <c r="B8" s="23" t="s">
        <v>88</v>
      </c>
      <c r="C8" s="446">
        <v>0</v>
      </c>
      <c r="D8" s="446">
        <v>0</v>
      </c>
      <c r="E8" s="446">
        <v>0</v>
      </c>
      <c r="F8" s="446">
        <v>0</v>
      </c>
      <c r="G8" s="446">
        <v>0</v>
      </c>
      <c r="H8" s="446">
        <v>0</v>
      </c>
      <c r="I8" s="208">
        <f t="shared" si="4"/>
        <v>0</v>
      </c>
      <c r="J8" s="177">
        <f t="shared" si="4"/>
        <v>0</v>
      </c>
      <c r="K8" s="40" t="s">
        <v>15</v>
      </c>
      <c r="L8" s="23" t="s">
        <v>88</v>
      </c>
      <c r="M8" s="65">
        <v>0</v>
      </c>
      <c r="N8" s="182">
        <v>0</v>
      </c>
      <c r="O8" s="65">
        <v>0</v>
      </c>
      <c r="P8" s="182">
        <v>0</v>
      </c>
      <c r="Q8" s="65">
        <v>0</v>
      </c>
      <c r="R8" s="182">
        <v>0</v>
      </c>
      <c r="S8" s="21">
        <f t="shared" si="0"/>
        <v>0</v>
      </c>
      <c r="T8" s="177">
        <f t="shared" si="1"/>
        <v>0</v>
      </c>
      <c r="U8" s="40" t="s">
        <v>15</v>
      </c>
      <c r="V8" s="23" t="s">
        <v>88</v>
      </c>
      <c r="W8" s="65">
        <v>0</v>
      </c>
      <c r="X8" s="182">
        <v>0</v>
      </c>
      <c r="Y8" s="65">
        <v>0</v>
      </c>
      <c r="Z8" s="182">
        <v>0</v>
      </c>
      <c r="AA8" s="65">
        <v>0</v>
      </c>
      <c r="AB8" s="182">
        <v>0</v>
      </c>
      <c r="AC8" s="21">
        <f t="shared" si="5"/>
        <v>0</v>
      </c>
      <c r="AD8" s="177">
        <f t="shared" si="5"/>
        <v>0</v>
      </c>
      <c r="AE8" s="40" t="s">
        <v>15</v>
      </c>
      <c r="AF8" s="23" t="s">
        <v>88</v>
      </c>
      <c r="AG8" s="65">
        <v>0</v>
      </c>
      <c r="AH8" s="182">
        <v>0</v>
      </c>
      <c r="AI8" s="65">
        <v>0</v>
      </c>
      <c r="AJ8" s="182">
        <v>0</v>
      </c>
      <c r="AK8" s="65">
        <v>0</v>
      </c>
      <c r="AL8" s="182">
        <v>0</v>
      </c>
      <c r="AM8" s="21">
        <f t="shared" si="6"/>
        <v>0</v>
      </c>
      <c r="AN8" s="177">
        <f t="shared" si="6"/>
        <v>0</v>
      </c>
      <c r="AO8" s="40" t="s">
        <v>15</v>
      </c>
      <c r="AP8" s="23" t="s">
        <v>88</v>
      </c>
      <c r="AQ8" s="65">
        <v>0</v>
      </c>
      <c r="AR8" s="182">
        <v>0</v>
      </c>
      <c r="AS8" s="65">
        <v>0</v>
      </c>
      <c r="AT8" s="182">
        <v>0</v>
      </c>
      <c r="AU8" s="65">
        <v>0</v>
      </c>
      <c r="AV8" s="182">
        <v>0</v>
      </c>
      <c r="AW8" s="21">
        <f t="shared" si="7"/>
        <v>0</v>
      </c>
      <c r="AX8" s="177">
        <f t="shared" si="7"/>
        <v>0</v>
      </c>
      <c r="AY8" s="40" t="s">
        <v>15</v>
      </c>
      <c r="AZ8" s="23" t="s">
        <v>88</v>
      </c>
      <c r="BA8" s="65">
        <v>0</v>
      </c>
      <c r="BB8" s="182">
        <v>0</v>
      </c>
      <c r="BC8" s="65">
        <v>0</v>
      </c>
      <c r="BD8" s="182">
        <v>0</v>
      </c>
      <c r="BE8" s="65">
        <v>0</v>
      </c>
      <c r="BF8" s="182">
        <v>0</v>
      </c>
      <c r="BG8" s="21">
        <f t="shared" si="8"/>
        <v>0</v>
      </c>
      <c r="BH8" s="177">
        <f t="shared" si="8"/>
        <v>0</v>
      </c>
      <c r="BI8" s="40" t="s">
        <v>15</v>
      </c>
      <c r="BJ8" s="23" t="s">
        <v>88</v>
      </c>
      <c r="BK8" s="182">
        <v>0</v>
      </c>
      <c r="BL8" s="182">
        <v>0</v>
      </c>
      <c r="BM8" s="182">
        <v>0</v>
      </c>
      <c r="BN8" s="182">
        <v>0</v>
      </c>
      <c r="BO8" s="182">
        <v>0</v>
      </c>
      <c r="BP8" s="182">
        <v>0</v>
      </c>
      <c r="BQ8" s="177">
        <f t="shared" si="9"/>
        <v>0</v>
      </c>
      <c r="BR8" s="177">
        <f t="shared" si="9"/>
        <v>0</v>
      </c>
      <c r="BS8" s="40" t="s">
        <v>15</v>
      </c>
      <c r="BT8" s="23" t="s">
        <v>88</v>
      </c>
      <c r="BU8" s="182">
        <v>0</v>
      </c>
      <c r="BV8" s="182">
        <v>0</v>
      </c>
      <c r="BW8" s="182">
        <v>0</v>
      </c>
      <c r="BX8" s="182">
        <v>0</v>
      </c>
      <c r="BY8" s="182">
        <v>0</v>
      </c>
      <c r="BZ8" s="182">
        <v>0</v>
      </c>
      <c r="CA8" s="177">
        <f t="shared" si="10"/>
        <v>0</v>
      </c>
      <c r="CB8" s="177">
        <f t="shared" si="10"/>
        <v>0</v>
      </c>
      <c r="CC8" s="40" t="s">
        <v>15</v>
      </c>
      <c r="CD8" s="23" t="s">
        <v>88</v>
      </c>
      <c r="CE8" s="111">
        <f t="shared" si="11"/>
        <v>0</v>
      </c>
      <c r="CF8" s="111">
        <f t="shared" si="11"/>
        <v>0</v>
      </c>
      <c r="CG8" s="111">
        <f t="shared" si="12"/>
        <v>0</v>
      </c>
      <c r="CH8" s="111">
        <f t="shared" si="12"/>
        <v>0</v>
      </c>
      <c r="CI8" s="111">
        <f t="shared" si="13"/>
        <v>0</v>
      </c>
      <c r="CJ8" s="111">
        <f t="shared" si="13"/>
        <v>0</v>
      </c>
      <c r="CK8" s="111">
        <f t="shared" si="2"/>
        <v>0</v>
      </c>
      <c r="CL8" s="111">
        <f t="shared" si="3"/>
        <v>0</v>
      </c>
      <c r="CM8" s="59"/>
      <c r="CN8" s="59"/>
      <c r="CO8" s="59"/>
      <c r="CP8" s="57"/>
    </row>
    <row r="9" spans="1:94" ht="15" customHeight="1" x14ac:dyDescent="0.3">
      <c r="A9" s="40" t="s">
        <v>16</v>
      </c>
      <c r="B9" s="23" t="s">
        <v>182</v>
      </c>
      <c r="C9" s="446">
        <v>8334000</v>
      </c>
      <c r="D9" s="446">
        <v>8334000</v>
      </c>
      <c r="E9" s="446">
        <v>0</v>
      </c>
      <c r="F9" s="446">
        <v>0</v>
      </c>
      <c r="G9" s="446">
        <v>0</v>
      </c>
      <c r="H9" s="446">
        <v>0</v>
      </c>
      <c r="I9" s="208">
        <f t="shared" si="4"/>
        <v>8334000</v>
      </c>
      <c r="J9" s="177">
        <f t="shared" si="4"/>
        <v>8334000</v>
      </c>
      <c r="K9" s="40" t="s">
        <v>16</v>
      </c>
      <c r="L9" s="23" t="s">
        <v>89</v>
      </c>
      <c r="M9" s="65">
        <v>4250000</v>
      </c>
      <c r="N9" s="182">
        <v>4250000</v>
      </c>
      <c r="O9" s="65">
        <v>0</v>
      </c>
      <c r="P9" s="182">
        <v>0</v>
      </c>
      <c r="Q9" s="65">
        <v>0</v>
      </c>
      <c r="R9" s="182">
        <v>0</v>
      </c>
      <c r="S9" s="21">
        <f t="shared" si="0"/>
        <v>4250000</v>
      </c>
      <c r="T9" s="177">
        <f t="shared" si="1"/>
        <v>4250000</v>
      </c>
      <c r="U9" s="40" t="s">
        <v>16</v>
      </c>
      <c r="V9" s="23" t="s">
        <v>89</v>
      </c>
      <c r="W9" s="65">
        <v>7926000</v>
      </c>
      <c r="X9" s="182">
        <v>7926000</v>
      </c>
      <c r="Y9" s="65">
        <v>0</v>
      </c>
      <c r="Z9" s="182">
        <v>0</v>
      </c>
      <c r="AA9" s="65">
        <v>0</v>
      </c>
      <c r="AB9" s="182">
        <v>0</v>
      </c>
      <c r="AC9" s="21">
        <f t="shared" si="5"/>
        <v>7926000</v>
      </c>
      <c r="AD9" s="177">
        <f t="shared" si="5"/>
        <v>7926000</v>
      </c>
      <c r="AE9" s="40" t="s">
        <v>16</v>
      </c>
      <c r="AF9" s="23" t="s">
        <v>89</v>
      </c>
      <c r="AG9" s="65">
        <v>13215000</v>
      </c>
      <c r="AH9" s="182">
        <v>13215000</v>
      </c>
      <c r="AI9" s="65">
        <v>0</v>
      </c>
      <c r="AJ9" s="182">
        <v>0</v>
      </c>
      <c r="AK9" s="65">
        <v>0</v>
      </c>
      <c r="AL9" s="182">
        <v>0</v>
      </c>
      <c r="AM9" s="21">
        <f t="shared" si="6"/>
        <v>13215000</v>
      </c>
      <c r="AN9" s="177">
        <f t="shared" si="6"/>
        <v>13215000</v>
      </c>
      <c r="AO9" s="40" t="s">
        <v>16</v>
      </c>
      <c r="AP9" s="23" t="s">
        <v>89</v>
      </c>
      <c r="AQ9" s="182">
        <v>4889000</v>
      </c>
      <c r="AR9" s="182">
        <v>4889000</v>
      </c>
      <c r="AS9" s="65">
        <v>0</v>
      </c>
      <c r="AT9" s="182">
        <v>0</v>
      </c>
      <c r="AU9" s="65">
        <v>0</v>
      </c>
      <c r="AV9" s="182">
        <v>0</v>
      </c>
      <c r="AW9" s="21">
        <f t="shared" si="7"/>
        <v>4889000</v>
      </c>
      <c r="AX9" s="177">
        <f t="shared" si="7"/>
        <v>4889000</v>
      </c>
      <c r="AY9" s="40" t="s">
        <v>16</v>
      </c>
      <c r="AZ9" s="23" t="s">
        <v>89</v>
      </c>
      <c r="BA9" s="65">
        <v>14600000</v>
      </c>
      <c r="BB9" s="182">
        <v>14600000</v>
      </c>
      <c r="BC9" s="65">
        <v>0</v>
      </c>
      <c r="BD9" s="182">
        <v>0</v>
      </c>
      <c r="BE9" s="65">
        <v>0</v>
      </c>
      <c r="BF9" s="182">
        <v>0</v>
      </c>
      <c r="BG9" s="21">
        <f t="shared" si="8"/>
        <v>14600000</v>
      </c>
      <c r="BH9" s="177">
        <f t="shared" si="8"/>
        <v>14600000</v>
      </c>
      <c r="BI9" s="40" t="s">
        <v>16</v>
      </c>
      <c r="BJ9" s="23" t="s">
        <v>89</v>
      </c>
      <c r="BK9" s="182">
        <v>1300000</v>
      </c>
      <c r="BL9" s="182">
        <v>1300000</v>
      </c>
      <c r="BM9" s="182">
        <v>0</v>
      </c>
      <c r="BN9" s="182">
        <v>0</v>
      </c>
      <c r="BO9" s="182">
        <v>0</v>
      </c>
      <c r="BP9" s="182">
        <v>0</v>
      </c>
      <c r="BQ9" s="177">
        <f t="shared" si="9"/>
        <v>1300000</v>
      </c>
      <c r="BR9" s="177">
        <f t="shared" si="9"/>
        <v>1300000</v>
      </c>
      <c r="BS9" s="40" t="s">
        <v>16</v>
      </c>
      <c r="BT9" s="23" t="s">
        <v>89</v>
      </c>
      <c r="BU9" s="182">
        <v>0</v>
      </c>
      <c r="BV9" s="182">
        <v>0</v>
      </c>
      <c r="BW9" s="182">
        <v>0</v>
      </c>
      <c r="BX9" s="182">
        <v>0</v>
      </c>
      <c r="BY9" s="182">
        <v>0</v>
      </c>
      <c r="BZ9" s="182">
        <v>0</v>
      </c>
      <c r="CA9" s="177">
        <f t="shared" si="10"/>
        <v>0</v>
      </c>
      <c r="CB9" s="177">
        <f t="shared" si="10"/>
        <v>0</v>
      </c>
      <c r="CC9" s="40" t="s">
        <v>16</v>
      </c>
      <c r="CD9" s="23" t="s">
        <v>89</v>
      </c>
      <c r="CE9" s="111">
        <f t="shared" si="11"/>
        <v>54514000</v>
      </c>
      <c r="CF9" s="111">
        <f t="shared" si="11"/>
        <v>54514000</v>
      </c>
      <c r="CG9" s="111">
        <f t="shared" si="12"/>
        <v>0</v>
      </c>
      <c r="CH9" s="111">
        <f t="shared" si="12"/>
        <v>0</v>
      </c>
      <c r="CI9" s="111">
        <f t="shared" si="13"/>
        <v>0</v>
      </c>
      <c r="CJ9" s="111">
        <f t="shared" si="13"/>
        <v>0</v>
      </c>
      <c r="CK9" s="111">
        <f t="shared" si="2"/>
        <v>54514000</v>
      </c>
      <c r="CL9" s="111">
        <f t="shared" si="3"/>
        <v>54514000</v>
      </c>
      <c r="CM9" s="63"/>
      <c r="CN9" s="63"/>
      <c r="CO9" s="63"/>
      <c r="CP9" s="63"/>
    </row>
    <row r="10" spans="1:94" ht="15" customHeight="1" x14ac:dyDescent="0.3">
      <c r="A10" s="40" t="s">
        <v>17</v>
      </c>
      <c r="B10" s="23" t="s">
        <v>90</v>
      </c>
      <c r="C10" s="446">
        <v>0</v>
      </c>
      <c r="D10" s="446">
        <v>0</v>
      </c>
      <c r="E10" s="446">
        <v>0</v>
      </c>
      <c r="F10" s="446">
        <v>0</v>
      </c>
      <c r="G10" s="446">
        <v>0</v>
      </c>
      <c r="H10" s="446">
        <v>0</v>
      </c>
      <c r="I10" s="208">
        <f t="shared" si="4"/>
        <v>0</v>
      </c>
      <c r="J10" s="177">
        <f t="shared" si="4"/>
        <v>0</v>
      </c>
      <c r="K10" s="40" t="s">
        <v>17</v>
      </c>
      <c r="L10" s="23" t="s">
        <v>90</v>
      </c>
      <c r="M10" s="65">
        <v>0</v>
      </c>
      <c r="N10" s="182">
        <v>0</v>
      </c>
      <c r="O10" s="65">
        <v>0</v>
      </c>
      <c r="P10" s="182">
        <v>0</v>
      </c>
      <c r="Q10" s="65">
        <v>0</v>
      </c>
      <c r="R10" s="182">
        <v>0</v>
      </c>
      <c r="S10" s="21">
        <f t="shared" si="0"/>
        <v>0</v>
      </c>
      <c r="T10" s="177">
        <f t="shared" si="1"/>
        <v>0</v>
      </c>
      <c r="U10" s="40" t="s">
        <v>17</v>
      </c>
      <c r="V10" s="23" t="s">
        <v>90</v>
      </c>
      <c r="W10" s="65">
        <v>0</v>
      </c>
      <c r="X10" s="182">
        <v>0</v>
      </c>
      <c r="Y10" s="65">
        <v>0</v>
      </c>
      <c r="Z10" s="182">
        <v>0</v>
      </c>
      <c r="AA10" s="65">
        <v>0</v>
      </c>
      <c r="AB10" s="182">
        <v>0</v>
      </c>
      <c r="AC10" s="21">
        <f t="shared" si="5"/>
        <v>0</v>
      </c>
      <c r="AD10" s="177">
        <f t="shared" si="5"/>
        <v>0</v>
      </c>
      <c r="AE10" s="40" t="s">
        <v>17</v>
      </c>
      <c r="AF10" s="23" t="s">
        <v>90</v>
      </c>
      <c r="AG10" s="65">
        <v>0</v>
      </c>
      <c r="AH10" s="182">
        <v>0</v>
      </c>
      <c r="AI10" s="65">
        <v>0</v>
      </c>
      <c r="AJ10" s="182">
        <v>0</v>
      </c>
      <c r="AK10" s="65">
        <v>0</v>
      </c>
      <c r="AL10" s="182">
        <v>0</v>
      </c>
      <c r="AM10" s="21">
        <f t="shared" si="6"/>
        <v>0</v>
      </c>
      <c r="AN10" s="177">
        <f t="shared" si="6"/>
        <v>0</v>
      </c>
      <c r="AO10" s="40" t="s">
        <v>17</v>
      </c>
      <c r="AP10" s="23" t="s">
        <v>90</v>
      </c>
      <c r="AQ10" s="65">
        <v>0</v>
      </c>
      <c r="AR10" s="182">
        <v>0</v>
      </c>
      <c r="AS10" s="65">
        <v>0</v>
      </c>
      <c r="AT10" s="182">
        <v>0</v>
      </c>
      <c r="AU10" s="65">
        <v>0</v>
      </c>
      <c r="AV10" s="182">
        <v>0</v>
      </c>
      <c r="AW10" s="21">
        <f t="shared" si="7"/>
        <v>0</v>
      </c>
      <c r="AX10" s="177">
        <f t="shared" si="7"/>
        <v>0</v>
      </c>
      <c r="AY10" s="40" t="s">
        <v>17</v>
      </c>
      <c r="AZ10" s="23" t="s">
        <v>90</v>
      </c>
      <c r="BA10" s="65">
        <v>0</v>
      </c>
      <c r="BB10" s="182">
        <v>0</v>
      </c>
      <c r="BC10" s="65">
        <v>0</v>
      </c>
      <c r="BD10" s="182">
        <v>0</v>
      </c>
      <c r="BE10" s="65">
        <v>0</v>
      </c>
      <c r="BF10" s="182">
        <v>0</v>
      </c>
      <c r="BG10" s="21">
        <f t="shared" si="8"/>
        <v>0</v>
      </c>
      <c r="BH10" s="177">
        <f t="shared" si="8"/>
        <v>0</v>
      </c>
      <c r="BI10" s="40" t="s">
        <v>17</v>
      </c>
      <c r="BJ10" s="23" t="s">
        <v>90</v>
      </c>
      <c r="BK10" s="182">
        <v>0</v>
      </c>
      <c r="BL10" s="182">
        <v>0</v>
      </c>
      <c r="BM10" s="182">
        <v>0</v>
      </c>
      <c r="BN10" s="182">
        <v>0</v>
      </c>
      <c r="BO10" s="182">
        <v>0</v>
      </c>
      <c r="BP10" s="182">
        <v>0</v>
      </c>
      <c r="BQ10" s="177">
        <f t="shared" si="9"/>
        <v>0</v>
      </c>
      <c r="BR10" s="177">
        <f t="shared" si="9"/>
        <v>0</v>
      </c>
      <c r="BS10" s="40" t="s">
        <v>17</v>
      </c>
      <c r="BT10" s="23" t="s">
        <v>90</v>
      </c>
      <c r="BU10" s="182">
        <v>0</v>
      </c>
      <c r="BV10" s="182">
        <v>0</v>
      </c>
      <c r="BW10" s="182">
        <v>0</v>
      </c>
      <c r="BX10" s="182">
        <v>0</v>
      </c>
      <c r="BY10" s="182">
        <v>0</v>
      </c>
      <c r="BZ10" s="182">
        <v>0</v>
      </c>
      <c r="CA10" s="177">
        <f t="shared" si="10"/>
        <v>0</v>
      </c>
      <c r="CB10" s="177">
        <f t="shared" si="10"/>
        <v>0</v>
      </c>
      <c r="CC10" s="40" t="s">
        <v>17</v>
      </c>
      <c r="CD10" s="23" t="s">
        <v>90</v>
      </c>
      <c r="CE10" s="111">
        <f t="shared" si="11"/>
        <v>0</v>
      </c>
      <c r="CF10" s="111">
        <f t="shared" si="11"/>
        <v>0</v>
      </c>
      <c r="CG10" s="111">
        <f t="shared" si="12"/>
        <v>0</v>
      </c>
      <c r="CH10" s="111">
        <f t="shared" si="12"/>
        <v>0</v>
      </c>
      <c r="CI10" s="111">
        <f t="shared" si="13"/>
        <v>0</v>
      </c>
      <c r="CJ10" s="111">
        <f t="shared" si="13"/>
        <v>0</v>
      </c>
      <c r="CK10" s="111">
        <f t="shared" si="2"/>
        <v>0</v>
      </c>
      <c r="CL10" s="111">
        <f t="shared" si="3"/>
        <v>0</v>
      </c>
      <c r="CM10" s="63"/>
      <c r="CN10" s="63"/>
      <c r="CO10" s="63"/>
      <c r="CP10" s="63"/>
    </row>
    <row r="11" spans="1:94" ht="15" customHeight="1" x14ac:dyDescent="0.3">
      <c r="A11" s="40" t="s">
        <v>18</v>
      </c>
      <c r="B11" s="23" t="s">
        <v>91</v>
      </c>
      <c r="C11" s="446">
        <v>0</v>
      </c>
      <c r="D11" s="446">
        <v>0</v>
      </c>
      <c r="E11" s="446">
        <v>0</v>
      </c>
      <c r="F11" s="446">
        <v>0</v>
      </c>
      <c r="G11" s="446">
        <v>0</v>
      </c>
      <c r="H11" s="446">
        <v>0</v>
      </c>
      <c r="I11" s="208">
        <f t="shared" si="4"/>
        <v>0</v>
      </c>
      <c r="J11" s="177">
        <f t="shared" si="4"/>
        <v>0</v>
      </c>
      <c r="K11" s="40" t="s">
        <v>18</v>
      </c>
      <c r="L11" s="23" t="s">
        <v>91</v>
      </c>
      <c r="M11" s="65">
        <v>0</v>
      </c>
      <c r="N11" s="182">
        <v>0</v>
      </c>
      <c r="O11" s="65">
        <v>0</v>
      </c>
      <c r="P11" s="182">
        <v>0</v>
      </c>
      <c r="Q11" s="65">
        <v>0</v>
      </c>
      <c r="R11" s="182">
        <v>0</v>
      </c>
      <c r="S11" s="21">
        <f t="shared" si="0"/>
        <v>0</v>
      </c>
      <c r="T11" s="177">
        <f t="shared" si="1"/>
        <v>0</v>
      </c>
      <c r="U11" s="40" t="s">
        <v>18</v>
      </c>
      <c r="V11" s="23" t="s">
        <v>91</v>
      </c>
      <c r="W11" s="65">
        <v>0</v>
      </c>
      <c r="X11" s="182">
        <v>0</v>
      </c>
      <c r="Y11" s="65">
        <v>0</v>
      </c>
      <c r="Z11" s="182">
        <v>0</v>
      </c>
      <c r="AA11" s="65">
        <v>0</v>
      </c>
      <c r="AB11" s="182">
        <v>0</v>
      </c>
      <c r="AC11" s="21">
        <f t="shared" si="5"/>
        <v>0</v>
      </c>
      <c r="AD11" s="177">
        <f t="shared" si="5"/>
        <v>0</v>
      </c>
      <c r="AE11" s="40" t="s">
        <v>18</v>
      </c>
      <c r="AF11" s="23" t="s">
        <v>91</v>
      </c>
      <c r="AG11" s="65">
        <v>0</v>
      </c>
      <c r="AH11" s="182">
        <v>0</v>
      </c>
      <c r="AI11" s="65">
        <v>0</v>
      </c>
      <c r="AJ11" s="182">
        <v>0</v>
      </c>
      <c r="AK11" s="65">
        <v>0</v>
      </c>
      <c r="AL11" s="182">
        <v>0</v>
      </c>
      <c r="AM11" s="21">
        <f t="shared" si="6"/>
        <v>0</v>
      </c>
      <c r="AN11" s="177">
        <f t="shared" si="6"/>
        <v>0</v>
      </c>
      <c r="AO11" s="40" t="s">
        <v>18</v>
      </c>
      <c r="AP11" s="23" t="s">
        <v>91</v>
      </c>
      <c r="AQ11" s="65">
        <v>0</v>
      </c>
      <c r="AR11" s="182">
        <v>0</v>
      </c>
      <c r="AS11" s="65">
        <v>0</v>
      </c>
      <c r="AT11" s="182">
        <v>0</v>
      </c>
      <c r="AU11" s="65">
        <v>0</v>
      </c>
      <c r="AV11" s="182">
        <v>0</v>
      </c>
      <c r="AW11" s="21">
        <f t="shared" si="7"/>
        <v>0</v>
      </c>
      <c r="AX11" s="177">
        <f t="shared" si="7"/>
        <v>0</v>
      </c>
      <c r="AY11" s="40" t="s">
        <v>18</v>
      </c>
      <c r="AZ11" s="23" t="s">
        <v>91</v>
      </c>
      <c r="BA11" s="65">
        <v>0</v>
      </c>
      <c r="BB11" s="182">
        <v>0</v>
      </c>
      <c r="BC11" s="65">
        <v>0</v>
      </c>
      <c r="BD11" s="182">
        <v>0</v>
      </c>
      <c r="BE11" s="65">
        <v>0</v>
      </c>
      <c r="BF11" s="182">
        <v>0</v>
      </c>
      <c r="BG11" s="21">
        <f t="shared" si="8"/>
        <v>0</v>
      </c>
      <c r="BH11" s="177">
        <f t="shared" si="8"/>
        <v>0</v>
      </c>
      <c r="BI11" s="40" t="s">
        <v>18</v>
      </c>
      <c r="BJ11" s="23" t="s">
        <v>91</v>
      </c>
      <c r="BK11" s="182">
        <v>0</v>
      </c>
      <c r="BL11" s="182">
        <v>0</v>
      </c>
      <c r="BM11" s="182">
        <v>0</v>
      </c>
      <c r="BN11" s="182">
        <v>0</v>
      </c>
      <c r="BO11" s="182">
        <v>0</v>
      </c>
      <c r="BP11" s="182">
        <v>0</v>
      </c>
      <c r="BQ11" s="177">
        <f t="shared" si="9"/>
        <v>0</v>
      </c>
      <c r="BR11" s="177">
        <f t="shared" si="9"/>
        <v>0</v>
      </c>
      <c r="BS11" s="40" t="s">
        <v>18</v>
      </c>
      <c r="BT11" s="23" t="s">
        <v>91</v>
      </c>
      <c r="BU11" s="182">
        <v>0</v>
      </c>
      <c r="BV11" s="182">
        <v>0</v>
      </c>
      <c r="BW11" s="182">
        <v>0</v>
      </c>
      <c r="BX11" s="182">
        <v>0</v>
      </c>
      <c r="BY11" s="182">
        <v>0</v>
      </c>
      <c r="BZ11" s="182">
        <v>0</v>
      </c>
      <c r="CA11" s="177">
        <f t="shared" si="10"/>
        <v>0</v>
      </c>
      <c r="CB11" s="177">
        <f t="shared" si="10"/>
        <v>0</v>
      </c>
      <c r="CC11" s="40" t="s">
        <v>18</v>
      </c>
      <c r="CD11" s="23" t="s">
        <v>91</v>
      </c>
      <c r="CE11" s="111">
        <f t="shared" si="11"/>
        <v>0</v>
      </c>
      <c r="CF11" s="111">
        <f t="shared" si="11"/>
        <v>0</v>
      </c>
      <c r="CG11" s="111">
        <f t="shared" si="12"/>
        <v>0</v>
      </c>
      <c r="CH11" s="111">
        <f t="shared" si="12"/>
        <v>0</v>
      </c>
      <c r="CI11" s="111">
        <f t="shared" si="13"/>
        <v>0</v>
      </c>
      <c r="CJ11" s="111">
        <f t="shared" si="13"/>
        <v>0</v>
      </c>
      <c r="CK11" s="111">
        <f t="shared" si="2"/>
        <v>0</v>
      </c>
      <c r="CL11" s="111">
        <f t="shared" si="3"/>
        <v>0</v>
      </c>
      <c r="CM11" s="63"/>
      <c r="CN11" s="63"/>
      <c r="CO11" s="63"/>
      <c r="CP11" s="63"/>
    </row>
    <row r="12" spans="1:94" ht="15" customHeight="1" x14ac:dyDescent="0.3">
      <c r="A12" s="40" t="s">
        <v>19</v>
      </c>
      <c r="B12" s="23" t="s">
        <v>92</v>
      </c>
      <c r="C12" s="446">
        <v>0</v>
      </c>
      <c r="D12" s="446">
        <v>0</v>
      </c>
      <c r="E12" s="446">
        <v>0</v>
      </c>
      <c r="F12" s="446">
        <v>0</v>
      </c>
      <c r="G12" s="446">
        <v>0</v>
      </c>
      <c r="H12" s="446">
        <v>0</v>
      </c>
      <c r="I12" s="208">
        <f t="shared" si="4"/>
        <v>0</v>
      </c>
      <c r="J12" s="177">
        <f t="shared" si="4"/>
        <v>0</v>
      </c>
      <c r="K12" s="40" t="s">
        <v>19</v>
      </c>
      <c r="L12" s="23" t="s">
        <v>92</v>
      </c>
      <c r="M12" s="65">
        <v>0</v>
      </c>
      <c r="N12" s="182">
        <v>0</v>
      </c>
      <c r="O12" s="65">
        <v>0</v>
      </c>
      <c r="P12" s="182">
        <v>0</v>
      </c>
      <c r="Q12" s="65">
        <v>0</v>
      </c>
      <c r="R12" s="182">
        <v>0</v>
      </c>
      <c r="S12" s="21">
        <f t="shared" si="0"/>
        <v>0</v>
      </c>
      <c r="T12" s="177">
        <f t="shared" si="1"/>
        <v>0</v>
      </c>
      <c r="U12" s="40" t="s">
        <v>19</v>
      </c>
      <c r="V12" s="23" t="s">
        <v>92</v>
      </c>
      <c r="W12" s="65">
        <v>0</v>
      </c>
      <c r="X12" s="182">
        <v>0</v>
      </c>
      <c r="Y12" s="65">
        <v>0</v>
      </c>
      <c r="Z12" s="182">
        <v>0</v>
      </c>
      <c r="AA12" s="65">
        <v>0</v>
      </c>
      <c r="AB12" s="182">
        <v>0</v>
      </c>
      <c r="AC12" s="21">
        <f t="shared" si="5"/>
        <v>0</v>
      </c>
      <c r="AD12" s="177">
        <f t="shared" si="5"/>
        <v>0</v>
      </c>
      <c r="AE12" s="40" t="s">
        <v>19</v>
      </c>
      <c r="AF12" s="23" t="s">
        <v>92</v>
      </c>
      <c r="AG12" s="65">
        <v>0</v>
      </c>
      <c r="AH12" s="182">
        <v>0</v>
      </c>
      <c r="AI12" s="65">
        <v>0</v>
      </c>
      <c r="AJ12" s="182">
        <v>0</v>
      </c>
      <c r="AK12" s="65">
        <v>0</v>
      </c>
      <c r="AL12" s="182">
        <v>0</v>
      </c>
      <c r="AM12" s="21">
        <f t="shared" si="6"/>
        <v>0</v>
      </c>
      <c r="AN12" s="177">
        <f t="shared" si="6"/>
        <v>0</v>
      </c>
      <c r="AO12" s="40" t="s">
        <v>19</v>
      </c>
      <c r="AP12" s="23" t="s">
        <v>92</v>
      </c>
      <c r="AQ12" s="65">
        <v>0</v>
      </c>
      <c r="AR12" s="182">
        <v>0</v>
      </c>
      <c r="AS12" s="65">
        <v>0</v>
      </c>
      <c r="AT12" s="182">
        <v>0</v>
      </c>
      <c r="AU12" s="65">
        <v>0</v>
      </c>
      <c r="AV12" s="182">
        <v>0</v>
      </c>
      <c r="AW12" s="21">
        <f t="shared" si="7"/>
        <v>0</v>
      </c>
      <c r="AX12" s="177">
        <f t="shared" si="7"/>
        <v>0</v>
      </c>
      <c r="AY12" s="40" t="s">
        <v>19</v>
      </c>
      <c r="AZ12" s="23" t="s">
        <v>92</v>
      </c>
      <c r="BA12" s="65">
        <v>0</v>
      </c>
      <c r="BB12" s="182">
        <v>0</v>
      </c>
      <c r="BC12" s="65">
        <v>0</v>
      </c>
      <c r="BD12" s="182">
        <v>0</v>
      </c>
      <c r="BE12" s="65">
        <v>0</v>
      </c>
      <c r="BF12" s="182">
        <v>0</v>
      </c>
      <c r="BG12" s="21">
        <f t="shared" si="8"/>
        <v>0</v>
      </c>
      <c r="BH12" s="177">
        <f t="shared" si="8"/>
        <v>0</v>
      </c>
      <c r="BI12" s="40" t="s">
        <v>19</v>
      </c>
      <c r="BJ12" s="23" t="s">
        <v>92</v>
      </c>
      <c r="BK12" s="182">
        <v>0</v>
      </c>
      <c r="BL12" s="182">
        <v>0</v>
      </c>
      <c r="BM12" s="182">
        <v>0</v>
      </c>
      <c r="BN12" s="182">
        <v>0</v>
      </c>
      <c r="BO12" s="182">
        <v>0</v>
      </c>
      <c r="BP12" s="182">
        <v>0</v>
      </c>
      <c r="BQ12" s="177">
        <f t="shared" si="9"/>
        <v>0</v>
      </c>
      <c r="BR12" s="177">
        <f t="shared" si="9"/>
        <v>0</v>
      </c>
      <c r="BS12" s="40" t="s">
        <v>19</v>
      </c>
      <c r="BT12" s="444" t="s">
        <v>92</v>
      </c>
      <c r="BU12" s="446">
        <v>0</v>
      </c>
      <c r="BV12" s="446">
        <v>0</v>
      </c>
      <c r="BW12" s="446">
        <v>0</v>
      </c>
      <c r="BX12" s="446">
        <v>0</v>
      </c>
      <c r="BY12" s="446">
        <v>0</v>
      </c>
      <c r="BZ12" s="446">
        <v>0</v>
      </c>
      <c r="CA12" s="208">
        <f t="shared" si="10"/>
        <v>0</v>
      </c>
      <c r="CB12" s="177">
        <f t="shared" si="10"/>
        <v>0</v>
      </c>
      <c r="CC12" s="40" t="s">
        <v>19</v>
      </c>
      <c r="CD12" s="23" t="s">
        <v>92</v>
      </c>
      <c r="CE12" s="111">
        <f t="shared" si="11"/>
        <v>0</v>
      </c>
      <c r="CF12" s="111">
        <f t="shared" si="11"/>
        <v>0</v>
      </c>
      <c r="CG12" s="111">
        <f t="shared" si="12"/>
        <v>0</v>
      </c>
      <c r="CH12" s="111">
        <f t="shared" si="12"/>
        <v>0</v>
      </c>
      <c r="CI12" s="111">
        <f t="shared" si="13"/>
        <v>0</v>
      </c>
      <c r="CJ12" s="111">
        <f t="shared" si="13"/>
        <v>0</v>
      </c>
      <c r="CK12" s="111">
        <f t="shared" si="2"/>
        <v>0</v>
      </c>
      <c r="CL12" s="111">
        <f t="shared" si="3"/>
        <v>0</v>
      </c>
      <c r="CM12" s="63"/>
      <c r="CN12" s="63"/>
      <c r="CO12" s="63"/>
      <c r="CP12" s="63"/>
    </row>
    <row r="13" spans="1:94" ht="15" customHeight="1" x14ac:dyDescent="0.3">
      <c r="A13" s="121" t="s">
        <v>20</v>
      </c>
      <c r="B13" s="22" t="s">
        <v>93</v>
      </c>
      <c r="C13" s="446">
        <f>C5+C6+C7+C8+C9+C10+C11+C12</f>
        <v>8334000</v>
      </c>
      <c r="D13" s="446">
        <f>D5+D6+D7+D8+D9+D10+D11+D12</f>
        <v>8334000</v>
      </c>
      <c r="E13" s="446">
        <v>0</v>
      </c>
      <c r="F13" s="446">
        <v>0</v>
      </c>
      <c r="G13" s="446">
        <f>G5+G6+G7+G8+G9+G10+G11+G12</f>
        <v>0</v>
      </c>
      <c r="H13" s="446">
        <f>H5+H6+H7+H8+H9+H10+H11+H12</f>
        <v>0</v>
      </c>
      <c r="I13" s="208">
        <f t="shared" si="4"/>
        <v>8334000</v>
      </c>
      <c r="J13" s="177">
        <f t="shared" si="4"/>
        <v>8334000</v>
      </c>
      <c r="K13" s="121" t="s">
        <v>20</v>
      </c>
      <c r="L13" s="22" t="s">
        <v>93</v>
      </c>
      <c r="M13" s="65">
        <f t="shared" ref="M13:R13" si="14">M5+M6+M7+M8+M9+M10+M11+M12</f>
        <v>4250000</v>
      </c>
      <c r="N13" s="182">
        <f t="shared" si="14"/>
        <v>4250000</v>
      </c>
      <c r="O13" s="65">
        <f t="shared" si="14"/>
        <v>0</v>
      </c>
      <c r="P13" s="182">
        <f t="shared" si="14"/>
        <v>0</v>
      </c>
      <c r="Q13" s="65">
        <f t="shared" si="14"/>
        <v>0</v>
      </c>
      <c r="R13" s="182">
        <f t="shared" si="14"/>
        <v>0</v>
      </c>
      <c r="S13" s="21">
        <f t="shared" si="0"/>
        <v>4250000</v>
      </c>
      <c r="T13" s="177">
        <f t="shared" si="1"/>
        <v>4250000</v>
      </c>
      <c r="U13" s="121" t="s">
        <v>20</v>
      </c>
      <c r="V13" s="22" t="s">
        <v>93</v>
      </c>
      <c r="W13" s="65">
        <f t="shared" ref="W13:AB13" si="15">W5+W6+W7+W8+W9+W10+W11+W12</f>
        <v>7926000</v>
      </c>
      <c r="X13" s="182">
        <f t="shared" si="15"/>
        <v>7926000</v>
      </c>
      <c r="Y13" s="65">
        <f t="shared" si="15"/>
        <v>0</v>
      </c>
      <c r="Z13" s="182">
        <f t="shared" si="15"/>
        <v>0</v>
      </c>
      <c r="AA13" s="65">
        <f t="shared" si="15"/>
        <v>0</v>
      </c>
      <c r="AB13" s="182">
        <f t="shared" si="15"/>
        <v>0</v>
      </c>
      <c r="AC13" s="21">
        <f t="shared" si="5"/>
        <v>7926000</v>
      </c>
      <c r="AD13" s="177">
        <f t="shared" si="5"/>
        <v>7926000</v>
      </c>
      <c r="AE13" s="121" t="s">
        <v>20</v>
      </c>
      <c r="AF13" s="22" t="s">
        <v>93</v>
      </c>
      <c r="AG13" s="65">
        <f t="shared" ref="AG13:AL13" si="16">AG5+AG6+AG7+AG8+AG9+AG10+AG11+AG12</f>
        <v>13215000</v>
      </c>
      <c r="AH13" s="182">
        <f t="shared" si="16"/>
        <v>13215000</v>
      </c>
      <c r="AI13" s="65">
        <f t="shared" si="16"/>
        <v>0</v>
      </c>
      <c r="AJ13" s="182">
        <f t="shared" si="16"/>
        <v>0</v>
      </c>
      <c r="AK13" s="65">
        <f t="shared" si="16"/>
        <v>0</v>
      </c>
      <c r="AL13" s="182">
        <f t="shared" si="16"/>
        <v>0</v>
      </c>
      <c r="AM13" s="21">
        <f t="shared" si="6"/>
        <v>13215000</v>
      </c>
      <c r="AN13" s="177">
        <f t="shared" si="6"/>
        <v>13215000</v>
      </c>
      <c r="AO13" s="121" t="s">
        <v>20</v>
      </c>
      <c r="AP13" s="22" t="s">
        <v>93</v>
      </c>
      <c r="AQ13" s="65">
        <v>4889000</v>
      </c>
      <c r="AR13" s="182">
        <v>4889000</v>
      </c>
      <c r="AS13" s="65">
        <f>AS5+AS6+AS7+AS8+AS9+AS10+AS11+AS12</f>
        <v>0</v>
      </c>
      <c r="AT13" s="182">
        <f>AT5+AT6+AT7+AT8+AT9+AT10+AT11+AT12</f>
        <v>0</v>
      </c>
      <c r="AU13" s="65">
        <f>AU5+AU6+AU7+AU8+AU9+AU10+AU11+AU12</f>
        <v>0</v>
      </c>
      <c r="AV13" s="182">
        <f>AV5+AV6+AV7+AV8+AV9+AV10+AV11+AV12</f>
        <v>0</v>
      </c>
      <c r="AW13" s="21">
        <f t="shared" si="7"/>
        <v>4889000</v>
      </c>
      <c r="AX13" s="177">
        <f t="shared" si="7"/>
        <v>4889000</v>
      </c>
      <c r="AY13" s="121" t="s">
        <v>20</v>
      </c>
      <c r="AZ13" s="22" t="s">
        <v>93</v>
      </c>
      <c r="BA13" s="65">
        <f t="shared" ref="BA13:BF13" si="17">BA5+BA6+BA7+BA8+BA9+BA10+BA11+BA12</f>
        <v>18600000</v>
      </c>
      <c r="BB13" s="182">
        <f t="shared" si="17"/>
        <v>18600000</v>
      </c>
      <c r="BC13" s="65">
        <f t="shared" si="17"/>
        <v>0</v>
      </c>
      <c r="BD13" s="182">
        <f t="shared" si="17"/>
        <v>0</v>
      </c>
      <c r="BE13" s="65">
        <f t="shared" si="17"/>
        <v>0</v>
      </c>
      <c r="BF13" s="182">
        <f t="shared" si="17"/>
        <v>0</v>
      </c>
      <c r="BG13" s="21">
        <f t="shared" si="8"/>
        <v>18600000</v>
      </c>
      <c r="BH13" s="177">
        <f t="shared" si="8"/>
        <v>18600000</v>
      </c>
      <c r="BI13" s="121" t="s">
        <v>20</v>
      </c>
      <c r="BJ13" s="195" t="s">
        <v>93</v>
      </c>
      <c r="BK13" s="182">
        <f t="shared" ref="BK13:BP13" si="18">BK5+BK6+BK7+BK8+BK9+BK10+BK11+BK12</f>
        <v>1300000</v>
      </c>
      <c r="BL13" s="182">
        <f t="shared" si="18"/>
        <v>1300000</v>
      </c>
      <c r="BM13" s="182">
        <f t="shared" si="18"/>
        <v>0</v>
      </c>
      <c r="BN13" s="182">
        <f t="shared" si="18"/>
        <v>0</v>
      </c>
      <c r="BO13" s="182">
        <f t="shared" si="18"/>
        <v>0</v>
      </c>
      <c r="BP13" s="182">
        <f t="shared" si="18"/>
        <v>0</v>
      </c>
      <c r="BQ13" s="177">
        <f t="shared" si="9"/>
        <v>1300000</v>
      </c>
      <c r="BR13" s="177">
        <f t="shared" si="9"/>
        <v>1300000</v>
      </c>
      <c r="BS13" s="121" t="s">
        <v>20</v>
      </c>
      <c r="BT13" s="449" t="s">
        <v>93</v>
      </c>
      <c r="BU13" s="446">
        <f t="shared" ref="BU13:BZ13" si="19">BU5+BU6+BU7+BU8+BU9+BU10+BU11+BU12</f>
        <v>0</v>
      </c>
      <c r="BV13" s="446">
        <f t="shared" si="19"/>
        <v>0</v>
      </c>
      <c r="BW13" s="446">
        <f t="shared" si="19"/>
        <v>0</v>
      </c>
      <c r="BX13" s="446">
        <f t="shared" si="19"/>
        <v>0</v>
      </c>
      <c r="BY13" s="446">
        <f t="shared" si="19"/>
        <v>0</v>
      </c>
      <c r="BZ13" s="446">
        <f t="shared" si="19"/>
        <v>0</v>
      </c>
      <c r="CA13" s="208">
        <f t="shared" si="10"/>
        <v>0</v>
      </c>
      <c r="CB13" s="177">
        <f t="shared" si="10"/>
        <v>0</v>
      </c>
      <c r="CC13" s="121" t="s">
        <v>20</v>
      </c>
      <c r="CD13" s="22" t="s">
        <v>93</v>
      </c>
      <c r="CE13" s="111">
        <f t="shared" si="11"/>
        <v>58514000</v>
      </c>
      <c r="CF13" s="111">
        <f t="shared" si="11"/>
        <v>58514000</v>
      </c>
      <c r="CG13" s="111">
        <f t="shared" si="12"/>
        <v>0</v>
      </c>
      <c r="CH13" s="111">
        <f t="shared" si="12"/>
        <v>0</v>
      </c>
      <c r="CI13" s="111">
        <f t="shared" si="13"/>
        <v>0</v>
      </c>
      <c r="CJ13" s="111">
        <f t="shared" si="13"/>
        <v>0</v>
      </c>
      <c r="CK13" s="111">
        <f t="shared" si="2"/>
        <v>58514000</v>
      </c>
      <c r="CL13" s="111">
        <f t="shared" si="3"/>
        <v>58514000</v>
      </c>
      <c r="CM13" s="63"/>
      <c r="CN13" s="63"/>
      <c r="CO13" s="63"/>
      <c r="CP13" s="63"/>
    </row>
    <row r="14" spans="1:94" ht="15" customHeight="1" x14ac:dyDescent="0.3">
      <c r="A14" s="40" t="s">
        <v>21</v>
      </c>
      <c r="B14" s="23" t="s">
        <v>94</v>
      </c>
      <c r="C14" s="446">
        <v>0</v>
      </c>
      <c r="D14" s="446">
        <v>0</v>
      </c>
      <c r="E14" s="446">
        <v>0</v>
      </c>
      <c r="F14" s="446">
        <v>0</v>
      </c>
      <c r="G14" s="446">
        <v>0</v>
      </c>
      <c r="H14" s="446">
        <v>0</v>
      </c>
      <c r="I14" s="208">
        <f t="shared" si="4"/>
        <v>0</v>
      </c>
      <c r="J14" s="177">
        <f t="shared" si="4"/>
        <v>0</v>
      </c>
      <c r="K14" s="40" t="s">
        <v>21</v>
      </c>
      <c r="L14" s="23" t="s">
        <v>94</v>
      </c>
      <c r="M14" s="65">
        <v>0</v>
      </c>
      <c r="N14" s="182">
        <v>0</v>
      </c>
      <c r="O14" s="65">
        <v>0</v>
      </c>
      <c r="P14" s="182">
        <v>0</v>
      </c>
      <c r="Q14" s="65">
        <v>0</v>
      </c>
      <c r="R14" s="182">
        <v>0</v>
      </c>
      <c r="S14" s="21">
        <f t="shared" si="0"/>
        <v>0</v>
      </c>
      <c r="T14" s="177">
        <f t="shared" si="1"/>
        <v>0</v>
      </c>
      <c r="U14" s="40" t="s">
        <v>21</v>
      </c>
      <c r="V14" s="23" t="s">
        <v>94</v>
      </c>
      <c r="W14" s="65">
        <v>0</v>
      </c>
      <c r="X14" s="182">
        <v>0</v>
      </c>
      <c r="Y14" s="65">
        <v>0</v>
      </c>
      <c r="Z14" s="182">
        <v>0</v>
      </c>
      <c r="AA14" s="65">
        <v>0</v>
      </c>
      <c r="AB14" s="182">
        <v>0</v>
      </c>
      <c r="AC14" s="21">
        <f t="shared" si="5"/>
        <v>0</v>
      </c>
      <c r="AD14" s="177">
        <f t="shared" si="5"/>
        <v>0</v>
      </c>
      <c r="AE14" s="40" t="s">
        <v>21</v>
      </c>
      <c r="AF14" s="23" t="s">
        <v>94</v>
      </c>
      <c r="AG14" s="65">
        <v>0</v>
      </c>
      <c r="AH14" s="182">
        <v>0</v>
      </c>
      <c r="AI14" s="65">
        <v>0</v>
      </c>
      <c r="AJ14" s="182">
        <v>0</v>
      </c>
      <c r="AK14" s="65">
        <v>0</v>
      </c>
      <c r="AL14" s="182">
        <v>0</v>
      </c>
      <c r="AM14" s="21">
        <f t="shared" si="6"/>
        <v>0</v>
      </c>
      <c r="AN14" s="177">
        <f t="shared" si="6"/>
        <v>0</v>
      </c>
      <c r="AO14" s="40" t="s">
        <v>21</v>
      </c>
      <c r="AP14" s="23" t="s">
        <v>94</v>
      </c>
      <c r="AQ14" s="65">
        <v>0</v>
      </c>
      <c r="AR14" s="182">
        <v>0</v>
      </c>
      <c r="AS14" s="65">
        <v>0</v>
      </c>
      <c r="AT14" s="182">
        <v>0</v>
      </c>
      <c r="AU14" s="65">
        <v>0</v>
      </c>
      <c r="AV14" s="182">
        <v>0</v>
      </c>
      <c r="AW14" s="21">
        <f t="shared" si="7"/>
        <v>0</v>
      </c>
      <c r="AX14" s="177">
        <f t="shared" si="7"/>
        <v>0</v>
      </c>
      <c r="AY14" s="40" t="s">
        <v>21</v>
      </c>
      <c r="AZ14" s="23" t="s">
        <v>94</v>
      </c>
      <c r="BA14" s="65">
        <v>0</v>
      </c>
      <c r="BB14" s="182">
        <v>0</v>
      </c>
      <c r="BC14" s="65">
        <v>0</v>
      </c>
      <c r="BD14" s="182">
        <v>0</v>
      </c>
      <c r="BE14" s="65">
        <v>0</v>
      </c>
      <c r="BF14" s="182">
        <v>0</v>
      </c>
      <c r="BG14" s="21">
        <f t="shared" si="8"/>
        <v>0</v>
      </c>
      <c r="BH14" s="177">
        <f t="shared" si="8"/>
        <v>0</v>
      </c>
      <c r="BI14" s="40" t="s">
        <v>21</v>
      </c>
      <c r="BJ14" s="23" t="s">
        <v>94</v>
      </c>
      <c r="BK14" s="182">
        <v>0</v>
      </c>
      <c r="BL14" s="182">
        <v>0</v>
      </c>
      <c r="BM14" s="182">
        <v>0</v>
      </c>
      <c r="BN14" s="182">
        <v>0</v>
      </c>
      <c r="BO14" s="182">
        <v>0</v>
      </c>
      <c r="BP14" s="182">
        <v>0</v>
      </c>
      <c r="BQ14" s="177">
        <f t="shared" si="9"/>
        <v>0</v>
      </c>
      <c r="BR14" s="177">
        <f t="shared" si="9"/>
        <v>0</v>
      </c>
      <c r="BS14" s="40" t="s">
        <v>21</v>
      </c>
      <c r="BT14" s="444" t="s">
        <v>94</v>
      </c>
      <c r="BU14" s="446">
        <v>0</v>
      </c>
      <c r="BV14" s="446">
        <v>0</v>
      </c>
      <c r="BW14" s="446">
        <v>0</v>
      </c>
      <c r="BX14" s="446">
        <v>0</v>
      </c>
      <c r="BY14" s="446">
        <v>0</v>
      </c>
      <c r="BZ14" s="446">
        <v>0</v>
      </c>
      <c r="CA14" s="208">
        <f t="shared" si="10"/>
        <v>0</v>
      </c>
      <c r="CB14" s="177">
        <f t="shared" si="10"/>
        <v>0</v>
      </c>
      <c r="CC14" s="40" t="s">
        <v>21</v>
      </c>
      <c r="CD14" s="23" t="s">
        <v>94</v>
      </c>
      <c r="CE14" s="111">
        <f t="shared" si="11"/>
        <v>0</v>
      </c>
      <c r="CF14" s="111">
        <f t="shared" si="11"/>
        <v>0</v>
      </c>
      <c r="CG14" s="111">
        <f t="shared" si="12"/>
        <v>0</v>
      </c>
      <c r="CH14" s="111">
        <f t="shared" si="12"/>
        <v>0</v>
      </c>
      <c r="CI14" s="111">
        <f t="shared" si="13"/>
        <v>0</v>
      </c>
      <c r="CJ14" s="111">
        <f t="shared" si="13"/>
        <v>0</v>
      </c>
      <c r="CK14" s="111">
        <f t="shared" si="2"/>
        <v>0</v>
      </c>
      <c r="CL14" s="111">
        <f t="shared" si="3"/>
        <v>0</v>
      </c>
      <c r="CM14" s="63"/>
      <c r="CN14" s="63"/>
      <c r="CO14" s="63"/>
      <c r="CP14" s="63"/>
    </row>
    <row r="15" spans="1:94" ht="15" customHeight="1" x14ac:dyDescent="0.3">
      <c r="A15" s="40" t="s">
        <v>22</v>
      </c>
      <c r="B15" s="23" t="s">
        <v>95</v>
      </c>
      <c r="C15" s="446">
        <v>0</v>
      </c>
      <c r="D15" s="446">
        <v>0</v>
      </c>
      <c r="E15" s="446">
        <v>0</v>
      </c>
      <c r="F15" s="446">
        <v>0</v>
      </c>
      <c r="G15" s="446">
        <v>0</v>
      </c>
      <c r="H15" s="446">
        <v>0</v>
      </c>
      <c r="I15" s="208">
        <f t="shared" si="4"/>
        <v>0</v>
      </c>
      <c r="J15" s="177">
        <f t="shared" si="4"/>
        <v>0</v>
      </c>
      <c r="K15" s="40" t="s">
        <v>22</v>
      </c>
      <c r="L15" s="23" t="s">
        <v>95</v>
      </c>
      <c r="M15" s="65">
        <v>0</v>
      </c>
      <c r="N15" s="182">
        <v>0</v>
      </c>
      <c r="O15" s="65">
        <v>0</v>
      </c>
      <c r="P15" s="182">
        <v>0</v>
      </c>
      <c r="Q15" s="65">
        <v>0</v>
      </c>
      <c r="R15" s="182">
        <v>0</v>
      </c>
      <c r="S15" s="21">
        <f t="shared" si="0"/>
        <v>0</v>
      </c>
      <c r="T15" s="177">
        <f t="shared" si="1"/>
        <v>0</v>
      </c>
      <c r="U15" s="40" t="s">
        <v>22</v>
      </c>
      <c r="V15" s="23" t="s">
        <v>95</v>
      </c>
      <c r="W15" s="65">
        <v>0</v>
      </c>
      <c r="X15" s="182">
        <v>0</v>
      </c>
      <c r="Y15" s="65">
        <v>0</v>
      </c>
      <c r="Z15" s="182">
        <v>0</v>
      </c>
      <c r="AA15" s="65">
        <v>0</v>
      </c>
      <c r="AB15" s="182">
        <v>0</v>
      </c>
      <c r="AC15" s="21">
        <f t="shared" si="5"/>
        <v>0</v>
      </c>
      <c r="AD15" s="177">
        <f t="shared" si="5"/>
        <v>0</v>
      </c>
      <c r="AE15" s="40" t="s">
        <v>22</v>
      </c>
      <c r="AF15" s="23" t="s">
        <v>95</v>
      </c>
      <c r="AG15" s="65">
        <v>0</v>
      </c>
      <c r="AH15" s="182">
        <v>0</v>
      </c>
      <c r="AI15" s="65">
        <v>0</v>
      </c>
      <c r="AJ15" s="182">
        <v>0</v>
      </c>
      <c r="AK15" s="65">
        <v>0</v>
      </c>
      <c r="AL15" s="182">
        <v>0</v>
      </c>
      <c r="AM15" s="21">
        <f t="shared" si="6"/>
        <v>0</v>
      </c>
      <c r="AN15" s="177">
        <f t="shared" si="6"/>
        <v>0</v>
      </c>
      <c r="AO15" s="40" t="s">
        <v>22</v>
      </c>
      <c r="AP15" s="23" t="s">
        <v>95</v>
      </c>
      <c r="AQ15" s="65">
        <v>0</v>
      </c>
      <c r="AR15" s="182">
        <v>0</v>
      </c>
      <c r="AS15" s="65">
        <v>0</v>
      </c>
      <c r="AT15" s="182">
        <v>0</v>
      </c>
      <c r="AU15" s="65">
        <v>0</v>
      </c>
      <c r="AV15" s="182">
        <v>0</v>
      </c>
      <c r="AW15" s="21">
        <f t="shared" si="7"/>
        <v>0</v>
      </c>
      <c r="AX15" s="177">
        <f t="shared" si="7"/>
        <v>0</v>
      </c>
      <c r="AY15" s="40" t="s">
        <v>22</v>
      </c>
      <c r="AZ15" s="23" t="s">
        <v>95</v>
      </c>
      <c r="BA15" s="65">
        <v>0</v>
      </c>
      <c r="BB15" s="182">
        <v>0</v>
      </c>
      <c r="BC15" s="65">
        <v>0</v>
      </c>
      <c r="BD15" s="182">
        <v>0</v>
      </c>
      <c r="BE15" s="65">
        <v>0</v>
      </c>
      <c r="BF15" s="182">
        <v>0</v>
      </c>
      <c r="BG15" s="21">
        <f t="shared" si="8"/>
        <v>0</v>
      </c>
      <c r="BH15" s="177">
        <f t="shared" si="8"/>
        <v>0</v>
      </c>
      <c r="BI15" s="40" t="s">
        <v>22</v>
      </c>
      <c r="BJ15" s="23" t="s">
        <v>95</v>
      </c>
      <c r="BK15" s="182">
        <v>0</v>
      </c>
      <c r="BL15" s="182">
        <v>0</v>
      </c>
      <c r="BM15" s="182">
        <v>0</v>
      </c>
      <c r="BN15" s="182">
        <v>0</v>
      </c>
      <c r="BO15" s="182">
        <v>0</v>
      </c>
      <c r="BP15" s="182">
        <v>0</v>
      </c>
      <c r="BQ15" s="177">
        <f t="shared" si="9"/>
        <v>0</v>
      </c>
      <c r="BR15" s="177">
        <f t="shared" si="9"/>
        <v>0</v>
      </c>
      <c r="BS15" s="40" t="s">
        <v>22</v>
      </c>
      <c r="BT15" s="444" t="s">
        <v>95</v>
      </c>
      <c r="BU15" s="446">
        <v>0</v>
      </c>
      <c r="BV15" s="446">
        <v>0</v>
      </c>
      <c r="BW15" s="446">
        <v>0</v>
      </c>
      <c r="BX15" s="446">
        <v>0</v>
      </c>
      <c r="BY15" s="446">
        <v>0</v>
      </c>
      <c r="BZ15" s="446">
        <v>0</v>
      </c>
      <c r="CA15" s="208">
        <f t="shared" si="10"/>
        <v>0</v>
      </c>
      <c r="CB15" s="177">
        <f t="shared" si="10"/>
        <v>0</v>
      </c>
      <c r="CC15" s="40" t="s">
        <v>22</v>
      </c>
      <c r="CD15" s="23" t="s">
        <v>95</v>
      </c>
      <c r="CE15" s="111">
        <f t="shared" si="11"/>
        <v>0</v>
      </c>
      <c r="CF15" s="111">
        <f t="shared" si="11"/>
        <v>0</v>
      </c>
      <c r="CG15" s="111">
        <f t="shared" si="12"/>
        <v>0</v>
      </c>
      <c r="CH15" s="111">
        <f t="shared" si="12"/>
        <v>0</v>
      </c>
      <c r="CI15" s="111">
        <f t="shared" si="13"/>
        <v>0</v>
      </c>
      <c r="CJ15" s="111">
        <f t="shared" si="13"/>
        <v>0</v>
      </c>
      <c r="CK15" s="111">
        <f t="shared" si="2"/>
        <v>0</v>
      </c>
      <c r="CL15" s="111">
        <f t="shared" si="3"/>
        <v>0</v>
      </c>
      <c r="CM15" s="63"/>
      <c r="CN15" s="63"/>
      <c r="CO15" s="63"/>
      <c r="CP15" s="63"/>
    </row>
    <row r="16" spans="1:94" ht="15" customHeight="1" x14ac:dyDescent="0.3">
      <c r="A16" s="40" t="s">
        <v>23</v>
      </c>
      <c r="B16" s="23" t="s">
        <v>96</v>
      </c>
      <c r="C16" s="446">
        <v>0</v>
      </c>
      <c r="D16" s="446">
        <v>15603778</v>
      </c>
      <c r="E16" s="446">
        <v>0</v>
      </c>
      <c r="F16" s="446">
        <v>0</v>
      </c>
      <c r="G16" s="446">
        <v>0</v>
      </c>
      <c r="H16" s="446">
        <v>0</v>
      </c>
      <c r="I16" s="208">
        <f t="shared" si="4"/>
        <v>0</v>
      </c>
      <c r="J16" s="177">
        <f t="shared" si="4"/>
        <v>15603778</v>
      </c>
      <c r="K16" s="40" t="s">
        <v>23</v>
      </c>
      <c r="L16" s="23" t="s">
        <v>96</v>
      </c>
      <c r="M16" s="65">
        <v>0</v>
      </c>
      <c r="N16" s="425">
        <v>2135869</v>
      </c>
      <c r="O16" s="65">
        <v>0</v>
      </c>
      <c r="P16" s="182">
        <v>0</v>
      </c>
      <c r="Q16" s="65">
        <v>0</v>
      </c>
      <c r="R16" s="182">
        <v>0</v>
      </c>
      <c r="S16" s="21">
        <f t="shared" si="0"/>
        <v>0</v>
      </c>
      <c r="T16" s="177">
        <f t="shared" si="1"/>
        <v>2135869</v>
      </c>
      <c r="U16" s="40" t="s">
        <v>23</v>
      </c>
      <c r="V16" s="23" t="s">
        <v>96</v>
      </c>
      <c r="W16" s="65">
        <v>0</v>
      </c>
      <c r="X16" s="425">
        <v>1631677</v>
      </c>
      <c r="Y16" s="65">
        <v>0</v>
      </c>
      <c r="Z16" s="182">
        <v>0</v>
      </c>
      <c r="AA16" s="65">
        <v>0</v>
      </c>
      <c r="AB16" s="182">
        <v>0</v>
      </c>
      <c r="AC16" s="21">
        <f t="shared" si="5"/>
        <v>0</v>
      </c>
      <c r="AD16" s="177">
        <f t="shared" si="5"/>
        <v>1631677</v>
      </c>
      <c r="AE16" s="40" t="s">
        <v>23</v>
      </c>
      <c r="AF16" s="23" t="s">
        <v>96</v>
      </c>
      <c r="AG16" s="65">
        <v>0</v>
      </c>
      <c r="AH16" s="622">
        <v>3498561</v>
      </c>
      <c r="AI16" s="65">
        <v>0</v>
      </c>
      <c r="AJ16" s="182">
        <v>0</v>
      </c>
      <c r="AK16" s="65">
        <v>0</v>
      </c>
      <c r="AL16" s="182">
        <v>0</v>
      </c>
      <c r="AM16" s="21">
        <f t="shared" si="6"/>
        <v>0</v>
      </c>
      <c r="AN16" s="177">
        <f t="shared" si="6"/>
        <v>3498561</v>
      </c>
      <c r="AO16" s="40" t="s">
        <v>23</v>
      </c>
      <c r="AP16" s="23" t="s">
        <v>96</v>
      </c>
      <c r="AQ16" s="65">
        <v>0</v>
      </c>
      <c r="AR16" s="425">
        <v>2062637</v>
      </c>
      <c r="AS16" s="65">
        <v>0</v>
      </c>
      <c r="AT16" s="182">
        <v>0</v>
      </c>
      <c r="AU16" s="65">
        <v>0</v>
      </c>
      <c r="AV16" s="182">
        <v>0</v>
      </c>
      <c r="AW16" s="21">
        <f t="shared" si="7"/>
        <v>0</v>
      </c>
      <c r="AX16" s="177">
        <f t="shared" si="7"/>
        <v>2062637</v>
      </c>
      <c r="AY16" s="40" t="s">
        <v>23</v>
      </c>
      <c r="AZ16" s="23" t="s">
        <v>96</v>
      </c>
      <c r="BA16" s="65">
        <v>0</v>
      </c>
      <c r="BB16" s="182">
        <v>1167236</v>
      </c>
      <c r="BC16" s="65">
        <v>0</v>
      </c>
      <c r="BD16" s="182">
        <v>0</v>
      </c>
      <c r="BE16" s="65">
        <v>0</v>
      </c>
      <c r="BF16" s="182">
        <v>0</v>
      </c>
      <c r="BG16" s="21">
        <f t="shared" si="8"/>
        <v>0</v>
      </c>
      <c r="BH16" s="177">
        <f t="shared" si="8"/>
        <v>1167236</v>
      </c>
      <c r="BI16" s="40" t="s">
        <v>23</v>
      </c>
      <c r="BJ16" s="23" t="s">
        <v>96</v>
      </c>
      <c r="BK16" s="182">
        <v>0</v>
      </c>
      <c r="BL16" s="182">
        <v>445689</v>
      </c>
      <c r="BM16" s="182">
        <v>0</v>
      </c>
      <c r="BN16" s="182">
        <v>0</v>
      </c>
      <c r="BO16" s="182">
        <v>0</v>
      </c>
      <c r="BP16" s="182">
        <v>0</v>
      </c>
      <c r="BQ16" s="177">
        <f t="shared" si="9"/>
        <v>0</v>
      </c>
      <c r="BR16" s="177">
        <f t="shared" si="9"/>
        <v>445689</v>
      </c>
      <c r="BS16" s="40" t="s">
        <v>23</v>
      </c>
      <c r="BT16" s="444" t="s">
        <v>96</v>
      </c>
      <c r="BU16" s="446">
        <v>0</v>
      </c>
      <c r="BV16" s="620">
        <v>716919</v>
      </c>
      <c r="BW16" s="446">
        <v>0</v>
      </c>
      <c r="BX16" s="446">
        <v>0</v>
      </c>
      <c r="BY16" s="446">
        <v>0</v>
      </c>
      <c r="BZ16" s="446">
        <v>0</v>
      </c>
      <c r="CA16" s="208">
        <f t="shared" si="10"/>
        <v>0</v>
      </c>
      <c r="CB16" s="177">
        <f t="shared" si="10"/>
        <v>716919</v>
      </c>
      <c r="CC16" s="40" t="s">
        <v>23</v>
      </c>
      <c r="CD16" s="23" t="s">
        <v>96</v>
      </c>
      <c r="CE16" s="111">
        <f t="shared" si="11"/>
        <v>0</v>
      </c>
      <c r="CF16" s="111">
        <f t="shared" si="11"/>
        <v>27262366</v>
      </c>
      <c r="CG16" s="111">
        <f t="shared" si="12"/>
        <v>0</v>
      </c>
      <c r="CH16" s="111">
        <f t="shared" si="12"/>
        <v>0</v>
      </c>
      <c r="CI16" s="111">
        <f t="shared" si="13"/>
        <v>0</v>
      </c>
      <c r="CJ16" s="111">
        <f t="shared" si="13"/>
        <v>0</v>
      </c>
      <c r="CK16" s="111">
        <f t="shared" si="2"/>
        <v>0</v>
      </c>
      <c r="CL16" s="111">
        <f t="shared" si="3"/>
        <v>27262366</v>
      </c>
      <c r="CM16" s="63"/>
      <c r="CN16" s="63"/>
      <c r="CO16" s="63"/>
      <c r="CP16" s="63"/>
    </row>
    <row r="17" spans="1:94" ht="15" customHeight="1" x14ac:dyDescent="0.3">
      <c r="A17" s="40" t="s">
        <v>24</v>
      </c>
      <c r="B17" s="23" t="s">
        <v>97</v>
      </c>
      <c r="C17" s="446">
        <v>384636000</v>
      </c>
      <c r="D17" s="446">
        <f>+D18</f>
        <v>393636000</v>
      </c>
      <c r="E17" s="446">
        <v>0</v>
      </c>
      <c r="F17" s="446">
        <v>0</v>
      </c>
      <c r="G17" s="446">
        <v>0</v>
      </c>
      <c r="H17" s="446">
        <v>0</v>
      </c>
      <c r="I17" s="208">
        <f t="shared" si="4"/>
        <v>384636000</v>
      </c>
      <c r="J17" s="177">
        <f t="shared" si="4"/>
        <v>393636000</v>
      </c>
      <c r="K17" s="40" t="s">
        <v>24</v>
      </c>
      <c r="L17" s="23" t="s">
        <v>97</v>
      </c>
      <c r="M17" s="65">
        <v>60787000</v>
      </c>
      <c r="N17" s="182">
        <v>60787000</v>
      </c>
      <c r="O17" s="65">
        <v>0</v>
      </c>
      <c r="P17" s="182">
        <v>0</v>
      </c>
      <c r="Q17" s="65">
        <v>0</v>
      </c>
      <c r="R17" s="182">
        <v>0</v>
      </c>
      <c r="S17" s="21">
        <f t="shared" si="0"/>
        <v>60787000</v>
      </c>
      <c r="T17" s="177">
        <f t="shared" si="1"/>
        <v>60787000</v>
      </c>
      <c r="U17" s="40" t="s">
        <v>24</v>
      </c>
      <c r="V17" s="23" t="s">
        <v>97</v>
      </c>
      <c r="W17" s="65">
        <v>100585000</v>
      </c>
      <c r="X17" s="182">
        <v>100585000</v>
      </c>
      <c r="Y17" s="65">
        <v>0</v>
      </c>
      <c r="Z17" s="182">
        <v>0</v>
      </c>
      <c r="AA17" s="65">
        <v>0</v>
      </c>
      <c r="AB17" s="182">
        <v>0</v>
      </c>
      <c r="AC17" s="21">
        <f t="shared" si="5"/>
        <v>100585000</v>
      </c>
      <c r="AD17" s="177">
        <f t="shared" si="5"/>
        <v>100585000</v>
      </c>
      <c r="AE17" s="40" t="s">
        <v>24</v>
      </c>
      <c r="AF17" s="23" t="s">
        <v>97</v>
      </c>
      <c r="AG17" s="65">
        <v>243532000</v>
      </c>
      <c r="AH17" s="182">
        <v>243532000</v>
      </c>
      <c r="AI17" s="65">
        <v>0</v>
      </c>
      <c r="AJ17" s="182">
        <v>0</v>
      </c>
      <c r="AK17" s="65">
        <v>0</v>
      </c>
      <c r="AL17" s="182">
        <v>0</v>
      </c>
      <c r="AM17" s="21">
        <f t="shared" si="6"/>
        <v>243532000</v>
      </c>
      <c r="AN17" s="177">
        <f t="shared" si="6"/>
        <v>243532000</v>
      </c>
      <c r="AO17" s="40" t="s">
        <v>24</v>
      </c>
      <c r="AP17" s="23" t="s">
        <v>97</v>
      </c>
      <c r="AQ17" s="182">
        <v>175144000</v>
      </c>
      <c r="AR17" s="182">
        <v>175144000</v>
      </c>
      <c r="AS17" s="65">
        <v>0</v>
      </c>
      <c r="AT17" s="182">
        <v>0</v>
      </c>
      <c r="AU17" s="65">
        <v>0</v>
      </c>
      <c r="AV17" s="182">
        <v>0</v>
      </c>
      <c r="AW17" s="21">
        <f t="shared" si="7"/>
        <v>175144000</v>
      </c>
      <c r="AX17" s="177">
        <f t="shared" si="7"/>
        <v>175144000</v>
      </c>
      <c r="AY17" s="40" t="s">
        <v>24</v>
      </c>
      <c r="AZ17" s="23" t="s">
        <v>97</v>
      </c>
      <c r="BA17" s="182">
        <v>30529000</v>
      </c>
      <c r="BB17" s="182">
        <v>30529000</v>
      </c>
      <c r="BC17" s="65">
        <v>0</v>
      </c>
      <c r="BD17" s="182">
        <v>0</v>
      </c>
      <c r="BE17" s="65">
        <v>0</v>
      </c>
      <c r="BF17" s="182">
        <v>0</v>
      </c>
      <c r="BG17" s="21">
        <f t="shared" si="8"/>
        <v>30529000</v>
      </c>
      <c r="BH17" s="177">
        <f t="shared" si="8"/>
        <v>30529000</v>
      </c>
      <c r="BI17" s="40" t="s">
        <v>24</v>
      </c>
      <c r="BJ17" s="23" t="s">
        <v>97</v>
      </c>
      <c r="BK17" s="182">
        <v>23453000</v>
      </c>
      <c r="BL17" s="182">
        <v>23898689</v>
      </c>
      <c r="BM17" s="182">
        <v>0</v>
      </c>
      <c r="BN17" s="182">
        <v>0</v>
      </c>
      <c r="BO17" s="182">
        <v>0</v>
      </c>
      <c r="BP17" s="182">
        <v>0</v>
      </c>
      <c r="BQ17" s="177">
        <f t="shared" si="9"/>
        <v>23453000</v>
      </c>
      <c r="BR17" s="177">
        <f t="shared" si="9"/>
        <v>23898689</v>
      </c>
      <c r="BS17" s="40" t="s">
        <v>24</v>
      </c>
      <c r="BT17" s="444" t="s">
        <v>97</v>
      </c>
      <c r="BU17" s="446">
        <v>62270000</v>
      </c>
      <c r="BV17" s="446">
        <f>+BV18</f>
        <v>42270000</v>
      </c>
      <c r="BW17" s="446">
        <v>0</v>
      </c>
      <c r="BX17" s="446">
        <v>0</v>
      </c>
      <c r="BY17" s="446">
        <v>0</v>
      </c>
      <c r="BZ17" s="446">
        <v>0</v>
      </c>
      <c r="CA17" s="208">
        <f t="shared" si="10"/>
        <v>62270000</v>
      </c>
      <c r="CB17" s="177">
        <f t="shared" si="10"/>
        <v>42270000</v>
      </c>
      <c r="CC17" s="40" t="s">
        <v>24</v>
      </c>
      <c r="CD17" s="23" t="s">
        <v>97</v>
      </c>
      <c r="CE17" s="111">
        <f t="shared" si="11"/>
        <v>1080936000</v>
      </c>
      <c r="CF17" s="111">
        <f t="shared" si="11"/>
        <v>1070381689</v>
      </c>
      <c r="CG17" s="111">
        <f t="shared" si="12"/>
        <v>0</v>
      </c>
      <c r="CH17" s="111">
        <f t="shared" si="12"/>
        <v>0</v>
      </c>
      <c r="CI17" s="111">
        <f t="shared" si="13"/>
        <v>0</v>
      </c>
      <c r="CJ17" s="111">
        <f t="shared" si="13"/>
        <v>0</v>
      </c>
      <c r="CK17" s="111">
        <f t="shared" si="2"/>
        <v>1080936000</v>
      </c>
      <c r="CL17" s="111">
        <f t="shared" si="3"/>
        <v>1070381689</v>
      </c>
      <c r="CM17" s="66"/>
      <c r="CN17" s="66"/>
      <c r="CO17" s="66"/>
      <c r="CP17" s="66"/>
    </row>
    <row r="18" spans="1:94" ht="15" customHeight="1" x14ac:dyDescent="0.3">
      <c r="A18" s="40"/>
      <c r="B18" s="23" t="s">
        <v>98</v>
      </c>
      <c r="C18" s="446">
        <v>384636000</v>
      </c>
      <c r="D18" s="446">
        <f>384636000+9000000</f>
        <v>393636000</v>
      </c>
      <c r="E18" s="446">
        <v>0</v>
      </c>
      <c r="F18" s="446">
        <v>0</v>
      </c>
      <c r="G18" s="446">
        <v>0</v>
      </c>
      <c r="H18" s="446">
        <v>0</v>
      </c>
      <c r="I18" s="208">
        <f t="shared" si="4"/>
        <v>384636000</v>
      </c>
      <c r="J18" s="177">
        <f t="shared" si="4"/>
        <v>393636000</v>
      </c>
      <c r="K18" s="40"/>
      <c r="L18" s="23" t="s">
        <v>98</v>
      </c>
      <c r="M18" s="182">
        <v>60787000</v>
      </c>
      <c r="N18" s="182">
        <v>60787000</v>
      </c>
      <c r="O18" s="65">
        <v>0</v>
      </c>
      <c r="P18" s="182">
        <v>0</v>
      </c>
      <c r="Q18" s="65">
        <v>0</v>
      </c>
      <c r="R18" s="182">
        <v>0</v>
      </c>
      <c r="S18" s="21">
        <f t="shared" si="0"/>
        <v>60787000</v>
      </c>
      <c r="T18" s="177">
        <f t="shared" si="1"/>
        <v>60787000</v>
      </c>
      <c r="U18" s="40"/>
      <c r="V18" s="23" t="s">
        <v>98</v>
      </c>
      <c r="W18" s="65">
        <v>100585000</v>
      </c>
      <c r="X18" s="182">
        <v>100585000</v>
      </c>
      <c r="Y18" s="65">
        <v>0</v>
      </c>
      <c r="Z18" s="182">
        <v>0</v>
      </c>
      <c r="AA18" s="65">
        <v>0</v>
      </c>
      <c r="AB18" s="182">
        <v>0</v>
      </c>
      <c r="AC18" s="21">
        <f t="shared" si="5"/>
        <v>100585000</v>
      </c>
      <c r="AD18" s="177">
        <f t="shared" si="5"/>
        <v>100585000</v>
      </c>
      <c r="AE18" s="40"/>
      <c r="AF18" s="23" t="s">
        <v>98</v>
      </c>
      <c r="AG18" s="65">
        <v>243532000</v>
      </c>
      <c r="AH18" s="182">
        <v>243532000</v>
      </c>
      <c r="AI18" s="65">
        <v>0</v>
      </c>
      <c r="AJ18" s="182">
        <v>0</v>
      </c>
      <c r="AK18" s="65">
        <v>0</v>
      </c>
      <c r="AL18" s="182">
        <v>0</v>
      </c>
      <c r="AM18" s="21">
        <f t="shared" si="6"/>
        <v>243532000</v>
      </c>
      <c r="AN18" s="177">
        <f t="shared" si="6"/>
        <v>243532000</v>
      </c>
      <c r="AO18" s="40"/>
      <c r="AP18" s="23" t="s">
        <v>98</v>
      </c>
      <c r="AQ18" s="65">
        <v>175144000</v>
      </c>
      <c r="AR18" s="182">
        <v>175144000</v>
      </c>
      <c r="AS18" s="65">
        <v>0</v>
      </c>
      <c r="AT18" s="182">
        <v>0</v>
      </c>
      <c r="AU18" s="65">
        <v>0</v>
      </c>
      <c r="AV18" s="182">
        <v>0</v>
      </c>
      <c r="AW18" s="21">
        <f t="shared" si="7"/>
        <v>175144000</v>
      </c>
      <c r="AX18" s="177">
        <f t="shared" si="7"/>
        <v>175144000</v>
      </c>
      <c r="AY18" s="40"/>
      <c r="AZ18" s="23" t="s">
        <v>98</v>
      </c>
      <c r="BA18" s="182">
        <v>30529000</v>
      </c>
      <c r="BB18" s="182">
        <v>30529000</v>
      </c>
      <c r="BC18" s="65">
        <v>0</v>
      </c>
      <c r="BD18" s="182">
        <v>0</v>
      </c>
      <c r="BE18" s="65">
        <v>0</v>
      </c>
      <c r="BF18" s="182">
        <v>0</v>
      </c>
      <c r="BG18" s="21">
        <f t="shared" si="8"/>
        <v>30529000</v>
      </c>
      <c r="BH18" s="177">
        <f t="shared" si="8"/>
        <v>30529000</v>
      </c>
      <c r="BI18" s="40"/>
      <c r="BJ18" s="23" t="s">
        <v>98</v>
      </c>
      <c r="BK18" s="182">
        <v>23453000</v>
      </c>
      <c r="BL18" s="182">
        <v>23898689</v>
      </c>
      <c r="BM18" s="182">
        <v>0</v>
      </c>
      <c r="BN18" s="182">
        <v>0</v>
      </c>
      <c r="BO18" s="182">
        <v>0</v>
      </c>
      <c r="BP18" s="182">
        <v>0</v>
      </c>
      <c r="BQ18" s="177">
        <f t="shared" si="9"/>
        <v>23453000</v>
      </c>
      <c r="BR18" s="177">
        <f t="shared" si="9"/>
        <v>23898689</v>
      </c>
      <c r="BS18" s="40"/>
      <c r="BT18" s="444" t="s">
        <v>98</v>
      </c>
      <c r="BU18" s="446">
        <v>62270000</v>
      </c>
      <c r="BV18" s="446">
        <f>62270000-20000000</f>
        <v>42270000</v>
      </c>
      <c r="BW18" s="446">
        <v>0</v>
      </c>
      <c r="BX18" s="446">
        <v>0</v>
      </c>
      <c r="BY18" s="446">
        <v>0</v>
      </c>
      <c r="BZ18" s="446">
        <v>0</v>
      </c>
      <c r="CA18" s="208">
        <f t="shared" si="10"/>
        <v>62270000</v>
      </c>
      <c r="CB18" s="177">
        <f t="shared" si="10"/>
        <v>42270000</v>
      </c>
      <c r="CC18" s="40"/>
      <c r="CD18" s="23" t="s">
        <v>98</v>
      </c>
      <c r="CE18" s="111">
        <f t="shared" si="11"/>
        <v>1080936000</v>
      </c>
      <c r="CF18" s="111">
        <f t="shared" si="11"/>
        <v>1070381689</v>
      </c>
      <c r="CG18" s="111">
        <f t="shared" si="12"/>
        <v>0</v>
      </c>
      <c r="CH18" s="111">
        <f t="shared" si="12"/>
        <v>0</v>
      </c>
      <c r="CI18" s="111">
        <f t="shared" si="13"/>
        <v>0</v>
      </c>
      <c r="CJ18" s="111">
        <f t="shared" si="13"/>
        <v>0</v>
      </c>
      <c r="CK18" s="111">
        <f t="shared" si="2"/>
        <v>1080936000</v>
      </c>
      <c r="CL18" s="111">
        <f t="shared" si="3"/>
        <v>1070381689</v>
      </c>
    </row>
    <row r="19" spans="1:94" ht="15" customHeight="1" x14ac:dyDescent="0.3">
      <c r="A19" s="40" t="s">
        <v>25</v>
      </c>
      <c r="B19" s="23" t="s">
        <v>99</v>
      </c>
      <c r="C19" s="446">
        <v>0</v>
      </c>
      <c r="D19" s="446">
        <v>0</v>
      </c>
      <c r="E19" s="446">
        <v>0</v>
      </c>
      <c r="F19" s="446">
        <v>0</v>
      </c>
      <c r="G19" s="446">
        <v>0</v>
      </c>
      <c r="H19" s="446">
        <v>0</v>
      </c>
      <c r="I19" s="208">
        <f t="shared" si="4"/>
        <v>0</v>
      </c>
      <c r="J19" s="177">
        <f t="shared" si="4"/>
        <v>0</v>
      </c>
      <c r="K19" s="40" t="s">
        <v>25</v>
      </c>
      <c r="L19" s="23" t="s">
        <v>99</v>
      </c>
      <c r="M19" s="65">
        <v>0</v>
      </c>
      <c r="N19" s="182">
        <v>0</v>
      </c>
      <c r="O19" s="65">
        <v>0</v>
      </c>
      <c r="P19" s="182">
        <v>0</v>
      </c>
      <c r="Q19" s="65">
        <v>0</v>
      </c>
      <c r="R19" s="182">
        <v>0</v>
      </c>
      <c r="S19" s="21">
        <f t="shared" si="0"/>
        <v>0</v>
      </c>
      <c r="T19" s="177">
        <f t="shared" si="1"/>
        <v>0</v>
      </c>
      <c r="U19" s="40" t="s">
        <v>25</v>
      </c>
      <c r="V19" s="23" t="s">
        <v>99</v>
      </c>
      <c r="W19" s="65">
        <v>0</v>
      </c>
      <c r="X19" s="182">
        <v>0</v>
      </c>
      <c r="Y19" s="65">
        <v>0</v>
      </c>
      <c r="Z19" s="182">
        <v>0</v>
      </c>
      <c r="AA19" s="65">
        <v>0</v>
      </c>
      <c r="AB19" s="182">
        <v>0</v>
      </c>
      <c r="AC19" s="21">
        <f t="shared" si="5"/>
        <v>0</v>
      </c>
      <c r="AD19" s="177">
        <f t="shared" si="5"/>
        <v>0</v>
      </c>
      <c r="AE19" s="40" t="s">
        <v>25</v>
      </c>
      <c r="AF19" s="23" t="s">
        <v>99</v>
      </c>
      <c r="AG19" s="65">
        <v>0</v>
      </c>
      <c r="AH19" s="182">
        <v>0</v>
      </c>
      <c r="AI19" s="65">
        <v>0</v>
      </c>
      <c r="AJ19" s="182">
        <v>0</v>
      </c>
      <c r="AK19" s="65">
        <v>0</v>
      </c>
      <c r="AL19" s="182">
        <v>0</v>
      </c>
      <c r="AM19" s="21">
        <f t="shared" si="6"/>
        <v>0</v>
      </c>
      <c r="AN19" s="177">
        <f t="shared" si="6"/>
        <v>0</v>
      </c>
      <c r="AO19" s="40" t="s">
        <v>25</v>
      </c>
      <c r="AP19" s="23" t="s">
        <v>99</v>
      </c>
      <c r="AQ19" s="65">
        <v>0</v>
      </c>
      <c r="AR19" s="182">
        <v>0</v>
      </c>
      <c r="AS19" s="65">
        <v>0</v>
      </c>
      <c r="AT19" s="182">
        <v>0</v>
      </c>
      <c r="AU19" s="65">
        <v>0</v>
      </c>
      <c r="AV19" s="182">
        <v>0</v>
      </c>
      <c r="AW19" s="21">
        <f t="shared" si="7"/>
        <v>0</v>
      </c>
      <c r="AX19" s="177">
        <f t="shared" si="7"/>
        <v>0</v>
      </c>
      <c r="AY19" s="40" t="s">
        <v>25</v>
      </c>
      <c r="AZ19" s="23" t="s">
        <v>99</v>
      </c>
      <c r="BA19" s="65">
        <v>0</v>
      </c>
      <c r="BB19" s="182">
        <v>0</v>
      </c>
      <c r="BC19" s="65">
        <v>0</v>
      </c>
      <c r="BD19" s="182">
        <v>0</v>
      </c>
      <c r="BE19" s="65">
        <v>0</v>
      </c>
      <c r="BF19" s="182">
        <v>0</v>
      </c>
      <c r="BG19" s="21">
        <f t="shared" si="8"/>
        <v>0</v>
      </c>
      <c r="BH19" s="177">
        <f t="shared" si="8"/>
        <v>0</v>
      </c>
      <c r="BI19" s="40" t="s">
        <v>25</v>
      </c>
      <c r="BJ19" s="23" t="s">
        <v>99</v>
      </c>
      <c r="BK19" s="182">
        <v>0</v>
      </c>
      <c r="BL19" s="182">
        <v>0</v>
      </c>
      <c r="BM19" s="182">
        <v>0</v>
      </c>
      <c r="BN19" s="182">
        <v>0</v>
      </c>
      <c r="BO19" s="182">
        <v>0</v>
      </c>
      <c r="BP19" s="182">
        <v>0</v>
      </c>
      <c r="BQ19" s="177">
        <f t="shared" si="9"/>
        <v>0</v>
      </c>
      <c r="BR19" s="177">
        <f t="shared" si="9"/>
        <v>0</v>
      </c>
      <c r="BS19" s="40" t="s">
        <v>25</v>
      </c>
      <c r="BT19" s="444" t="s">
        <v>99</v>
      </c>
      <c r="BU19" s="446">
        <v>0</v>
      </c>
      <c r="BV19" s="446">
        <v>0</v>
      </c>
      <c r="BW19" s="446">
        <v>0</v>
      </c>
      <c r="BX19" s="446">
        <v>0</v>
      </c>
      <c r="BY19" s="446">
        <v>0</v>
      </c>
      <c r="BZ19" s="446">
        <v>0</v>
      </c>
      <c r="CA19" s="208">
        <f t="shared" si="10"/>
        <v>0</v>
      </c>
      <c r="CB19" s="177">
        <f t="shared" si="10"/>
        <v>0</v>
      </c>
      <c r="CC19" s="40" t="s">
        <v>25</v>
      </c>
      <c r="CD19" s="23" t="s">
        <v>99</v>
      </c>
      <c r="CE19" s="111">
        <f t="shared" si="11"/>
        <v>0</v>
      </c>
      <c r="CF19" s="111">
        <f t="shared" si="11"/>
        <v>0</v>
      </c>
      <c r="CG19" s="111">
        <f t="shared" si="12"/>
        <v>0</v>
      </c>
      <c r="CH19" s="111">
        <f t="shared" si="12"/>
        <v>0</v>
      </c>
      <c r="CI19" s="111">
        <f t="shared" si="13"/>
        <v>0</v>
      </c>
      <c r="CJ19" s="111">
        <f t="shared" si="13"/>
        <v>0</v>
      </c>
      <c r="CK19" s="111">
        <f t="shared" si="2"/>
        <v>0</v>
      </c>
      <c r="CL19" s="111">
        <f t="shared" si="3"/>
        <v>0</v>
      </c>
    </row>
    <row r="20" spans="1:94" ht="25.5" customHeight="1" x14ac:dyDescent="0.3">
      <c r="A20" s="40" t="s">
        <v>26</v>
      </c>
      <c r="B20" s="23" t="s">
        <v>100</v>
      </c>
      <c r="C20" s="446">
        <v>0</v>
      </c>
      <c r="D20" s="446">
        <v>0</v>
      </c>
      <c r="E20" s="446">
        <v>0</v>
      </c>
      <c r="F20" s="446">
        <v>0</v>
      </c>
      <c r="G20" s="446">
        <v>0</v>
      </c>
      <c r="H20" s="446">
        <v>0</v>
      </c>
      <c r="I20" s="208">
        <f t="shared" si="4"/>
        <v>0</v>
      </c>
      <c r="J20" s="177">
        <f t="shared" si="4"/>
        <v>0</v>
      </c>
      <c r="K20" s="40" t="s">
        <v>26</v>
      </c>
      <c r="L20" s="23" t="s">
        <v>100</v>
      </c>
      <c r="M20" s="65">
        <v>0</v>
      </c>
      <c r="N20" s="182">
        <v>0</v>
      </c>
      <c r="O20" s="65">
        <v>0</v>
      </c>
      <c r="P20" s="182">
        <v>0</v>
      </c>
      <c r="Q20" s="65">
        <v>0</v>
      </c>
      <c r="R20" s="182">
        <v>0</v>
      </c>
      <c r="S20" s="21">
        <f t="shared" si="0"/>
        <v>0</v>
      </c>
      <c r="T20" s="177">
        <f t="shared" si="1"/>
        <v>0</v>
      </c>
      <c r="U20" s="40" t="s">
        <v>26</v>
      </c>
      <c r="V20" s="23" t="s">
        <v>100</v>
      </c>
      <c r="W20" s="65">
        <v>0</v>
      </c>
      <c r="X20" s="182">
        <v>0</v>
      </c>
      <c r="Y20" s="65">
        <v>0</v>
      </c>
      <c r="Z20" s="182">
        <v>0</v>
      </c>
      <c r="AA20" s="65">
        <v>0</v>
      </c>
      <c r="AB20" s="182">
        <v>0</v>
      </c>
      <c r="AC20" s="21">
        <f t="shared" si="5"/>
        <v>0</v>
      </c>
      <c r="AD20" s="177">
        <f t="shared" si="5"/>
        <v>0</v>
      </c>
      <c r="AE20" s="40" t="s">
        <v>26</v>
      </c>
      <c r="AF20" s="23" t="s">
        <v>100</v>
      </c>
      <c r="AG20" s="65">
        <v>0</v>
      </c>
      <c r="AH20" s="182">
        <v>0</v>
      </c>
      <c r="AI20" s="65">
        <v>0</v>
      </c>
      <c r="AJ20" s="182">
        <v>0</v>
      </c>
      <c r="AK20" s="65">
        <v>0</v>
      </c>
      <c r="AL20" s="182">
        <v>0</v>
      </c>
      <c r="AM20" s="21">
        <f t="shared" si="6"/>
        <v>0</v>
      </c>
      <c r="AN20" s="177">
        <f t="shared" si="6"/>
        <v>0</v>
      </c>
      <c r="AO20" s="40" t="s">
        <v>26</v>
      </c>
      <c r="AP20" s="23" t="s">
        <v>100</v>
      </c>
      <c r="AQ20" s="65">
        <v>0</v>
      </c>
      <c r="AR20" s="182">
        <v>0</v>
      </c>
      <c r="AS20" s="65">
        <v>0</v>
      </c>
      <c r="AT20" s="182">
        <v>0</v>
      </c>
      <c r="AU20" s="65">
        <v>0</v>
      </c>
      <c r="AV20" s="182">
        <v>0</v>
      </c>
      <c r="AW20" s="21">
        <f t="shared" si="7"/>
        <v>0</v>
      </c>
      <c r="AX20" s="177">
        <f t="shared" si="7"/>
        <v>0</v>
      </c>
      <c r="AY20" s="40" t="s">
        <v>26</v>
      </c>
      <c r="AZ20" s="23" t="s">
        <v>100</v>
      </c>
      <c r="BA20" s="65">
        <v>0</v>
      </c>
      <c r="BB20" s="182">
        <v>0</v>
      </c>
      <c r="BC20" s="65">
        <v>0</v>
      </c>
      <c r="BD20" s="182">
        <v>0</v>
      </c>
      <c r="BE20" s="65">
        <v>0</v>
      </c>
      <c r="BF20" s="182">
        <v>0</v>
      </c>
      <c r="BG20" s="21">
        <f t="shared" si="8"/>
        <v>0</v>
      </c>
      <c r="BH20" s="177">
        <f t="shared" si="8"/>
        <v>0</v>
      </c>
      <c r="BI20" s="40" t="s">
        <v>26</v>
      </c>
      <c r="BJ20" s="23" t="s">
        <v>100</v>
      </c>
      <c r="BK20" s="182">
        <v>0</v>
      </c>
      <c r="BL20" s="182">
        <v>0</v>
      </c>
      <c r="BM20" s="182">
        <v>0</v>
      </c>
      <c r="BN20" s="182">
        <v>0</v>
      </c>
      <c r="BO20" s="182">
        <v>0</v>
      </c>
      <c r="BP20" s="182">
        <v>0</v>
      </c>
      <c r="BQ20" s="177">
        <f t="shared" si="9"/>
        <v>0</v>
      </c>
      <c r="BR20" s="177">
        <f t="shared" si="9"/>
        <v>0</v>
      </c>
      <c r="BS20" s="40" t="s">
        <v>26</v>
      </c>
      <c r="BT20" s="444" t="s">
        <v>100</v>
      </c>
      <c r="BU20" s="446">
        <v>0</v>
      </c>
      <c r="BV20" s="446">
        <v>0</v>
      </c>
      <c r="BW20" s="446">
        <v>0</v>
      </c>
      <c r="BX20" s="446">
        <v>0</v>
      </c>
      <c r="BY20" s="446">
        <v>0</v>
      </c>
      <c r="BZ20" s="446">
        <v>0</v>
      </c>
      <c r="CA20" s="208">
        <f t="shared" si="10"/>
        <v>0</v>
      </c>
      <c r="CB20" s="177">
        <f t="shared" si="10"/>
        <v>0</v>
      </c>
      <c r="CC20" s="40" t="s">
        <v>26</v>
      </c>
      <c r="CD20" s="23" t="s">
        <v>100</v>
      </c>
      <c r="CE20" s="111">
        <f t="shared" si="11"/>
        <v>0</v>
      </c>
      <c r="CF20" s="111">
        <f t="shared" si="11"/>
        <v>0</v>
      </c>
      <c r="CG20" s="111">
        <f t="shared" si="12"/>
        <v>0</v>
      </c>
      <c r="CH20" s="111">
        <f t="shared" si="12"/>
        <v>0</v>
      </c>
      <c r="CI20" s="111">
        <f t="shared" si="13"/>
        <v>0</v>
      </c>
      <c r="CJ20" s="111">
        <f t="shared" si="13"/>
        <v>0</v>
      </c>
      <c r="CK20" s="111">
        <f t="shared" si="2"/>
        <v>0</v>
      </c>
      <c r="CL20" s="111">
        <f t="shared" si="3"/>
        <v>0</v>
      </c>
    </row>
    <row r="21" spans="1:94" ht="15" customHeight="1" x14ac:dyDescent="0.3">
      <c r="A21" s="40" t="s">
        <v>27</v>
      </c>
      <c r="B21" s="22" t="s">
        <v>101</v>
      </c>
      <c r="C21" s="446">
        <f t="shared" ref="C21:H21" si="20">C14+C15+C16+C17+C19+C20</f>
        <v>384636000</v>
      </c>
      <c r="D21" s="446">
        <f t="shared" si="20"/>
        <v>409239778</v>
      </c>
      <c r="E21" s="446">
        <f t="shared" si="20"/>
        <v>0</v>
      </c>
      <c r="F21" s="446">
        <f t="shared" si="20"/>
        <v>0</v>
      </c>
      <c r="G21" s="446">
        <f t="shared" si="20"/>
        <v>0</v>
      </c>
      <c r="H21" s="446">
        <f t="shared" si="20"/>
        <v>0</v>
      </c>
      <c r="I21" s="208">
        <f t="shared" si="4"/>
        <v>384636000</v>
      </c>
      <c r="J21" s="177">
        <f t="shared" si="4"/>
        <v>409239778</v>
      </c>
      <c r="K21" s="40" t="s">
        <v>27</v>
      </c>
      <c r="L21" s="22" t="s">
        <v>101</v>
      </c>
      <c r="M21" s="65">
        <f t="shared" ref="M21:R21" si="21">M14+M15+M16+M17+M19+M20</f>
        <v>60787000</v>
      </c>
      <c r="N21" s="182">
        <f t="shared" si="21"/>
        <v>62922869</v>
      </c>
      <c r="O21" s="65">
        <f t="shared" si="21"/>
        <v>0</v>
      </c>
      <c r="P21" s="182">
        <f t="shared" si="21"/>
        <v>0</v>
      </c>
      <c r="Q21" s="65">
        <f t="shared" si="21"/>
        <v>0</v>
      </c>
      <c r="R21" s="182">
        <f t="shared" si="21"/>
        <v>0</v>
      </c>
      <c r="S21" s="21">
        <f t="shared" si="0"/>
        <v>60787000</v>
      </c>
      <c r="T21" s="177">
        <f t="shared" si="1"/>
        <v>62922869</v>
      </c>
      <c r="U21" s="40" t="s">
        <v>27</v>
      </c>
      <c r="V21" s="22" t="s">
        <v>101</v>
      </c>
      <c r="W21" s="65">
        <f t="shared" ref="W21:AB21" si="22">W14+W15+W16+W17+W19+W20</f>
        <v>100585000</v>
      </c>
      <c r="X21" s="182">
        <f t="shared" si="22"/>
        <v>102216677</v>
      </c>
      <c r="Y21" s="65">
        <f t="shared" si="22"/>
        <v>0</v>
      </c>
      <c r="Z21" s="182">
        <f t="shared" si="22"/>
        <v>0</v>
      </c>
      <c r="AA21" s="65">
        <f t="shared" si="22"/>
        <v>0</v>
      </c>
      <c r="AB21" s="182">
        <f t="shared" si="22"/>
        <v>0</v>
      </c>
      <c r="AC21" s="21">
        <f t="shared" si="5"/>
        <v>100585000</v>
      </c>
      <c r="AD21" s="177">
        <f t="shared" si="5"/>
        <v>102216677</v>
      </c>
      <c r="AE21" s="40" t="s">
        <v>27</v>
      </c>
      <c r="AF21" s="22" t="s">
        <v>101</v>
      </c>
      <c r="AG21" s="65">
        <f t="shared" ref="AG21:AL21" si="23">AG14+AG15+AG16+AG17+AG19+AG20</f>
        <v>243532000</v>
      </c>
      <c r="AH21" s="182">
        <f t="shared" si="23"/>
        <v>247030561</v>
      </c>
      <c r="AI21" s="65">
        <f t="shared" si="23"/>
        <v>0</v>
      </c>
      <c r="AJ21" s="182">
        <f t="shared" si="23"/>
        <v>0</v>
      </c>
      <c r="AK21" s="65">
        <f t="shared" si="23"/>
        <v>0</v>
      </c>
      <c r="AL21" s="182">
        <f t="shared" si="23"/>
        <v>0</v>
      </c>
      <c r="AM21" s="21">
        <f t="shared" si="6"/>
        <v>243532000</v>
      </c>
      <c r="AN21" s="177">
        <f t="shared" si="6"/>
        <v>247030561</v>
      </c>
      <c r="AO21" s="40" t="s">
        <v>27</v>
      </c>
      <c r="AP21" s="22" t="s">
        <v>101</v>
      </c>
      <c r="AQ21" s="65">
        <f t="shared" ref="AQ21:AV21" si="24">AQ14+AQ15+AQ16+AQ17+AQ19+AQ20</f>
        <v>175144000</v>
      </c>
      <c r="AR21" s="182">
        <f t="shared" si="24"/>
        <v>177206637</v>
      </c>
      <c r="AS21" s="65">
        <f t="shared" si="24"/>
        <v>0</v>
      </c>
      <c r="AT21" s="182">
        <f t="shared" si="24"/>
        <v>0</v>
      </c>
      <c r="AU21" s="65">
        <f t="shared" si="24"/>
        <v>0</v>
      </c>
      <c r="AV21" s="182">
        <f t="shared" si="24"/>
        <v>0</v>
      </c>
      <c r="AW21" s="21">
        <f t="shared" si="7"/>
        <v>175144000</v>
      </c>
      <c r="AX21" s="177">
        <f t="shared" si="7"/>
        <v>177206637</v>
      </c>
      <c r="AY21" s="40" t="s">
        <v>27</v>
      </c>
      <c r="AZ21" s="22" t="s">
        <v>101</v>
      </c>
      <c r="BA21" s="65">
        <f t="shared" ref="BA21:BF21" si="25">BA14+BA15+BA16+BA17+BA19+BA20</f>
        <v>30529000</v>
      </c>
      <c r="BB21" s="182">
        <f t="shared" si="25"/>
        <v>31696236</v>
      </c>
      <c r="BC21" s="65">
        <f t="shared" si="25"/>
        <v>0</v>
      </c>
      <c r="BD21" s="182">
        <f t="shared" si="25"/>
        <v>0</v>
      </c>
      <c r="BE21" s="65">
        <f t="shared" si="25"/>
        <v>0</v>
      </c>
      <c r="BF21" s="182">
        <f t="shared" si="25"/>
        <v>0</v>
      </c>
      <c r="BG21" s="21">
        <f t="shared" si="8"/>
        <v>30529000</v>
      </c>
      <c r="BH21" s="177">
        <f t="shared" si="8"/>
        <v>31696236</v>
      </c>
      <c r="BI21" s="40" t="s">
        <v>27</v>
      </c>
      <c r="BJ21" s="195" t="s">
        <v>101</v>
      </c>
      <c r="BK21" s="182">
        <f t="shared" ref="BK21:BP21" si="26">BK14+BK15+BK16+BK17+BK19+BK20</f>
        <v>23453000</v>
      </c>
      <c r="BL21" s="182">
        <f t="shared" si="26"/>
        <v>24344378</v>
      </c>
      <c r="BM21" s="182">
        <f t="shared" si="26"/>
        <v>0</v>
      </c>
      <c r="BN21" s="182">
        <f t="shared" si="26"/>
        <v>0</v>
      </c>
      <c r="BO21" s="182">
        <f t="shared" si="26"/>
        <v>0</v>
      </c>
      <c r="BP21" s="182">
        <f t="shared" si="26"/>
        <v>0</v>
      </c>
      <c r="BQ21" s="177">
        <f t="shared" si="9"/>
        <v>23453000</v>
      </c>
      <c r="BR21" s="177">
        <f t="shared" si="9"/>
        <v>24344378</v>
      </c>
      <c r="BS21" s="40" t="s">
        <v>27</v>
      </c>
      <c r="BT21" s="449" t="s">
        <v>101</v>
      </c>
      <c r="BU21" s="446">
        <f t="shared" ref="BU21:BZ21" si="27">BU14+BU15+BU16+BU17+BU19+BU20</f>
        <v>62270000</v>
      </c>
      <c r="BV21" s="446">
        <f t="shared" si="27"/>
        <v>42986919</v>
      </c>
      <c r="BW21" s="446">
        <f t="shared" si="27"/>
        <v>0</v>
      </c>
      <c r="BX21" s="446">
        <f t="shared" si="27"/>
        <v>0</v>
      </c>
      <c r="BY21" s="446">
        <f t="shared" si="27"/>
        <v>0</v>
      </c>
      <c r="BZ21" s="446">
        <f t="shared" si="27"/>
        <v>0</v>
      </c>
      <c r="CA21" s="208">
        <f t="shared" si="10"/>
        <v>62270000</v>
      </c>
      <c r="CB21" s="177">
        <f t="shared" si="10"/>
        <v>42986919</v>
      </c>
      <c r="CC21" s="40" t="s">
        <v>27</v>
      </c>
      <c r="CD21" s="22" t="s">
        <v>101</v>
      </c>
      <c r="CE21" s="111">
        <f t="shared" si="11"/>
        <v>1080936000</v>
      </c>
      <c r="CF21" s="111">
        <f t="shared" si="11"/>
        <v>1097644055</v>
      </c>
      <c r="CG21" s="111">
        <f t="shared" si="12"/>
        <v>0</v>
      </c>
      <c r="CH21" s="111">
        <f t="shared" si="12"/>
        <v>0</v>
      </c>
      <c r="CI21" s="111">
        <f t="shared" si="13"/>
        <v>0</v>
      </c>
      <c r="CJ21" s="111">
        <f t="shared" si="13"/>
        <v>0</v>
      </c>
      <c r="CK21" s="111">
        <f t="shared" si="2"/>
        <v>1080936000</v>
      </c>
      <c r="CL21" s="111">
        <f t="shared" si="3"/>
        <v>1097644055</v>
      </c>
    </row>
    <row r="22" spans="1:94" ht="15" customHeight="1" x14ac:dyDescent="0.3">
      <c r="A22" s="40" t="s">
        <v>28</v>
      </c>
      <c r="B22" s="22" t="s">
        <v>102</v>
      </c>
      <c r="C22" s="446">
        <f t="shared" ref="C22:H22" si="28">C13+C21</f>
        <v>392970000</v>
      </c>
      <c r="D22" s="446">
        <f t="shared" si="28"/>
        <v>417573778</v>
      </c>
      <c r="E22" s="446">
        <f t="shared" si="28"/>
        <v>0</v>
      </c>
      <c r="F22" s="446">
        <f t="shared" si="28"/>
        <v>0</v>
      </c>
      <c r="G22" s="446">
        <f t="shared" si="28"/>
        <v>0</v>
      </c>
      <c r="H22" s="446">
        <f t="shared" si="28"/>
        <v>0</v>
      </c>
      <c r="I22" s="208">
        <f t="shared" si="4"/>
        <v>392970000</v>
      </c>
      <c r="J22" s="177">
        <f t="shared" si="4"/>
        <v>417573778</v>
      </c>
      <c r="K22" s="40" t="s">
        <v>28</v>
      </c>
      <c r="L22" s="22" t="s">
        <v>102</v>
      </c>
      <c r="M22" s="65">
        <f t="shared" ref="M22:R22" si="29">M13+M21</f>
        <v>65037000</v>
      </c>
      <c r="N22" s="182">
        <f t="shared" si="29"/>
        <v>67172869</v>
      </c>
      <c r="O22" s="65">
        <f t="shared" si="29"/>
        <v>0</v>
      </c>
      <c r="P22" s="182">
        <f t="shared" si="29"/>
        <v>0</v>
      </c>
      <c r="Q22" s="65">
        <f t="shared" si="29"/>
        <v>0</v>
      </c>
      <c r="R22" s="182">
        <f t="shared" si="29"/>
        <v>0</v>
      </c>
      <c r="S22" s="21">
        <f t="shared" si="0"/>
        <v>65037000</v>
      </c>
      <c r="T22" s="177">
        <f t="shared" si="1"/>
        <v>67172869</v>
      </c>
      <c r="U22" s="40" t="s">
        <v>28</v>
      </c>
      <c r="V22" s="22" t="s">
        <v>102</v>
      </c>
      <c r="W22" s="65">
        <f t="shared" ref="W22:AB22" si="30">W13+W21</f>
        <v>108511000</v>
      </c>
      <c r="X22" s="182">
        <f t="shared" si="30"/>
        <v>110142677</v>
      </c>
      <c r="Y22" s="65">
        <f t="shared" si="30"/>
        <v>0</v>
      </c>
      <c r="Z22" s="182">
        <f t="shared" si="30"/>
        <v>0</v>
      </c>
      <c r="AA22" s="65">
        <f t="shared" si="30"/>
        <v>0</v>
      </c>
      <c r="AB22" s="182">
        <f t="shared" si="30"/>
        <v>0</v>
      </c>
      <c r="AC22" s="21">
        <f t="shared" si="5"/>
        <v>108511000</v>
      </c>
      <c r="AD22" s="177">
        <f t="shared" si="5"/>
        <v>110142677</v>
      </c>
      <c r="AE22" s="40" t="s">
        <v>28</v>
      </c>
      <c r="AF22" s="22" t="s">
        <v>102</v>
      </c>
      <c r="AG22" s="65">
        <f t="shared" ref="AG22:AL22" si="31">AG13+AG21</f>
        <v>256747000</v>
      </c>
      <c r="AH22" s="182">
        <f t="shared" si="31"/>
        <v>260245561</v>
      </c>
      <c r="AI22" s="65">
        <f t="shared" si="31"/>
        <v>0</v>
      </c>
      <c r="AJ22" s="182">
        <f t="shared" si="31"/>
        <v>0</v>
      </c>
      <c r="AK22" s="65">
        <f t="shared" si="31"/>
        <v>0</v>
      </c>
      <c r="AL22" s="182">
        <f t="shared" si="31"/>
        <v>0</v>
      </c>
      <c r="AM22" s="21">
        <f t="shared" si="6"/>
        <v>256747000</v>
      </c>
      <c r="AN22" s="177">
        <f t="shared" si="6"/>
        <v>260245561</v>
      </c>
      <c r="AO22" s="40" t="s">
        <v>28</v>
      </c>
      <c r="AP22" s="22" t="s">
        <v>102</v>
      </c>
      <c r="AQ22" s="65">
        <f t="shared" ref="AQ22:AV22" si="32">AQ13+AQ21</f>
        <v>180033000</v>
      </c>
      <c r="AR22" s="182">
        <f t="shared" si="32"/>
        <v>182095637</v>
      </c>
      <c r="AS22" s="65">
        <f t="shared" si="32"/>
        <v>0</v>
      </c>
      <c r="AT22" s="182">
        <f t="shared" si="32"/>
        <v>0</v>
      </c>
      <c r="AU22" s="65">
        <f t="shared" si="32"/>
        <v>0</v>
      </c>
      <c r="AV22" s="182">
        <f t="shared" si="32"/>
        <v>0</v>
      </c>
      <c r="AW22" s="21">
        <f t="shared" si="7"/>
        <v>180033000</v>
      </c>
      <c r="AX22" s="177">
        <f t="shared" si="7"/>
        <v>182095637</v>
      </c>
      <c r="AY22" s="40" t="s">
        <v>28</v>
      </c>
      <c r="AZ22" s="22" t="s">
        <v>102</v>
      </c>
      <c r="BA22" s="65">
        <f t="shared" ref="BA22:BF22" si="33">BA13+BA21</f>
        <v>49129000</v>
      </c>
      <c r="BB22" s="182">
        <f t="shared" si="33"/>
        <v>50296236</v>
      </c>
      <c r="BC22" s="65">
        <f t="shared" si="33"/>
        <v>0</v>
      </c>
      <c r="BD22" s="182">
        <f t="shared" si="33"/>
        <v>0</v>
      </c>
      <c r="BE22" s="65">
        <f t="shared" si="33"/>
        <v>0</v>
      </c>
      <c r="BF22" s="182">
        <f t="shared" si="33"/>
        <v>0</v>
      </c>
      <c r="BG22" s="21">
        <f t="shared" si="8"/>
        <v>49129000</v>
      </c>
      <c r="BH22" s="177">
        <f t="shared" si="8"/>
        <v>50296236</v>
      </c>
      <c r="BI22" s="40" t="s">
        <v>28</v>
      </c>
      <c r="BJ22" s="195" t="s">
        <v>102</v>
      </c>
      <c r="BK22" s="182">
        <f t="shared" ref="BK22:BP22" si="34">BK13+BK21</f>
        <v>24753000</v>
      </c>
      <c r="BL22" s="182">
        <f t="shared" si="34"/>
        <v>25644378</v>
      </c>
      <c r="BM22" s="182">
        <f t="shared" si="34"/>
        <v>0</v>
      </c>
      <c r="BN22" s="182">
        <f t="shared" si="34"/>
        <v>0</v>
      </c>
      <c r="BO22" s="182">
        <f t="shared" si="34"/>
        <v>0</v>
      </c>
      <c r="BP22" s="182">
        <f t="shared" si="34"/>
        <v>0</v>
      </c>
      <c r="BQ22" s="177">
        <f t="shared" si="9"/>
        <v>24753000</v>
      </c>
      <c r="BR22" s="177">
        <f t="shared" si="9"/>
        <v>25644378</v>
      </c>
      <c r="BS22" s="40" t="s">
        <v>28</v>
      </c>
      <c r="BT22" s="449" t="s">
        <v>102</v>
      </c>
      <c r="BU22" s="446">
        <f t="shared" ref="BU22:BZ22" si="35">BU13+BU21</f>
        <v>62270000</v>
      </c>
      <c r="BV22" s="446">
        <f t="shared" si="35"/>
        <v>42986919</v>
      </c>
      <c r="BW22" s="446">
        <f t="shared" si="35"/>
        <v>0</v>
      </c>
      <c r="BX22" s="446">
        <f t="shared" si="35"/>
        <v>0</v>
      </c>
      <c r="BY22" s="446">
        <f t="shared" si="35"/>
        <v>0</v>
      </c>
      <c r="BZ22" s="446">
        <f t="shared" si="35"/>
        <v>0</v>
      </c>
      <c r="CA22" s="208">
        <f t="shared" si="10"/>
        <v>62270000</v>
      </c>
      <c r="CB22" s="177">
        <f t="shared" si="10"/>
        <v>42986919</v>
      </c>
      <c r="CC22" s="40" t="s">
        <v>28</v>
      </c>
      <c r="CD22" s="22" t="s">
        <v>102</v>
      </c>
      <c r="CE22" s="111">
        <f t="shared" si="11"/>
        <v>1139450000</v>
      </c>
      <c r="CF22" s="111">
        <f t="shared" si="11"/>
        <v>1156158055</v>
      </c>
      <c r="CG22" s="111">
        <f t="shared" si="12"/>
        <v>0</v>
      </c>
      <c r="CH22" s="111">
        <f t="shared" si="12"/>
        <v>0</v>
      </c>
      <c r="CI22" s="111">
        <f t="shared" si="13"/>
        <v>0</v>
      </c>
      <c r="CJ22" s="111">
        <f t="shared" si="13"/>
        <v>0</v>
      </c>
      <c r="CK22" s="111">
        <f t="shared" si="2"/>
        <v>1139450000</v>
      </c>
      <c r="CL22" s="111">
        <f t="shared" si="3"/>
        <v>1156158055</v>
      </c>
    </row>
    <row r="23" spans="1:94" ht="29.25" customHeight="1" x14ac:dyDescent="0.3">
      <c r="A23" s="3"/>
      <c r="B23" s="61" t="s">
        <v>6</v>
      </c>
      <c r="C23" s="618"/>
      <c r="D23" s="618"/>
      <c r="E23" s="12"/>
      <c r="F23" s="12"/>
      <c r="G23" s="659" t="s">
        <v>418</v>
      </c>
      <c r="H23" s="659"/>
      <c r="I23" s="660"/>
      <c r="J23" s="406"/>
      <c r="K23" s="3"/>
      <c r="L23" s="61" t="s">
        <v>6</v>
      </c>
      <c r="M23" s="167"/>
      <c r="N23" s="167"/>
      <c r="O23" s="17"/>
      <c r="P23" s="17"/>
      <c r="Q23" s="649" t="s">
        <v>418</v>
      </c>
      <c r="R23" s="650"/>
      <c r="S23" s="415"/>
      <c r="T23" s="163"/>
      <c r="U23" s="414"/>
      <c r="V23" s="61" t="s">
        <v>6</v>
      </c>
      <c r="W23" s="167"/>
      <c r="X23" s="167"/>
      <c r="Y23" s="17"/>
      <c r="Z23" s="17"/>
      <c r="AA23" s="649" t="s">
        <v>418</v>
      </c>
      <c r="AB23" s="649"/>
      <c r="AC23" s="650"/>
      <c r="AD23" s="415"/>
      <c r="AE23" s="3"/>
      <c r="AF23" s="61" t="s">
        <v>6</v>
      </c>
      <c r="AG23" s="167"/>
      <c r="AH23" s="167"/>
      <c r="AI23" s="17"/>
      <c r="AJ23" s="17"/>
      <c r="AK23" s="649" t="s">
        <v>418</v>
      </c>
      <c r="AL23" s="649"/>
      <c r="AM23" s="650"/>
      <c r="AN23" s="415"/>
      <c r="AO23" s="3"/>
      <c r="AP23" s="61" t="s">
        <v>6</v>
      </c>
      <c r="AQ23" s="167"/>
      <c r="AR23" s="167"/>
      <c r="AS23" s="17"/>
      <c r="AT23" s="17"/>
      <c r="AU23" s="649" t="s">
        <v>418</v>
      </c>
      <c r="AV23" s="649"/>
      <c r="AW23" s="650"/>
      <c r="AX23" s="415"/>
      <c r="AY23" s="3"/>
      <c r="AZ23" s="61" t="s">
        <v>6</v>
      </c>
      <c r="BA23" s="167"/>
      <c r="BB23" s="167"/>
      <c r="BC23" s="17"/>
      <c r="BD23" s="17"/>
      <c r="BE23" s="649" t="s">
        <v>418</v>
      </c>
      <c r="BF23" s="649"/>
      <c r="BG23" s="650"/>
      <c r="BH23" s="415"/>
      <c r="BI23" s="3"/>
      <c r="BJ23" s="61" t="s">
        <v>6</v>
      </c>
      <c r="BK23" s="167"/>
      <c r="BL23" s="167"/>
      <c r="BM23" s="17"/>
      <c r="BN23" s="17"/>
      <c r="BO23" s="649" t="s">
        <v>418</v>
      </c>
      <c r="BP23" s="649"/>
      <c r="BQ23" s="650"/>
      <c r="BR23" s="415"/>
      <c r="BS23" s="278"/>
      <c r="BT23" s="623" t="s">
        <v>6</v>
      </c>
      <c r="BU23" s="624"/>
      <c r="BV23" s="624"/>
      <c r="BW23" s="625"/>
      <c r="BX23" s="625"/>
      <c r="BY23" s="661" t="s">
        <v>418</v>
      </c>
      <c r="BZ23" s="661"/>
      <c r="CA23" s="662"/>
      <c r="CB23" s="411"/>
      <c r="CC23" s="171"/>
      <c r="CD23" s="172" t="s">
        <v>6</v>
      </c>
      <c r="CE23" s="111"/>
      <c r="CF23" s="111"/>
      <c r="CG23" s="111"/>
      <c r="CH23" s="111"/>
      <c r="CI23" s="111"/>
      <c r="CJ23" s="111"/>
      <c r="CK23" s="111"/>
    </row>
    <row r="24" spans="1:94" ht="84" x14ac:dyDescent="0.3">
      <c r="A24" s="165" t="s">
        <v>31</v>
      </c>
      <c r="B24" s="166" t="s">
        <v>32</v>
      </c>
      <c r="C24" s="439" t="s">
        <v>436</v>
      </c>
      <c r="D24" s="439" t="s">
        <v>440</v>
      </c>
      <c r="E24" s="439" t="s">
        <v>437</v>
      </c>
      <c r="F24" s="439" t="s">
        <v>441</v>
      </c>
      <c r="G24" s="439" t="s">
        <v>438</v>
      </c>
      <c r="H24" s="439" t="s">
        <v>442</v>
      </c>
      <c r="I24" s="439" t="s">
        <v>439</v>
      </c>
      <c r="J24" s="284" t="s">
        <v>443</v>
      </c>
      <c r="K24" s="165" t="s">
        <v>31</v>
      </c>
      <c r="L24" s="166" t="s">
        <v>32</v>
      </c>
      <c r="M24" s="284" t="s">
        <v>436</v>
      </c>
      <c r="N24" s="284" t="s">
        <v>440</v>
      </c>
      <c r="O24" s="284" t="s">
        <v>437</v>
      </c>
      <c r="P24" s="284" t="s">
        <v>441</v>
      </c>
      <c r="Q24" s="284" t="s">
        <v>438</v>
      </c>
      <c r="R24" s="284" t="s">
        <v>442</v>
      </c>
      <c r="S24" s="284" t="s">
        <v>439</v>
      </c>
      <c r="T24" s="284" t="s">
        <v>443</v>
      </c>
      <c r="U24" s="165" t="s">
        <v>31</v>
      </c>
      <c r="V24" s="166" t="s">
        <v>32</v>
      </c>
      <c r="W24" s="284" t="s">
        <v>436</v>
      </c>
      <c r="X24" s="284" t="s">
        <v>440</v>
      </c>
      <c r="Y24" s="284" t="s">
        <v>437</v>
      </c>
      <c r="Z24" s="284" t="s">
        <v>441</v>
      </c>
      <c r="AA24" s="284" t="s">
        <v>438</v>
      </c>
      <c r="AB24" s="284" t="s">
        <v>442</v>
      </c>
      <c r="AC24" s="284" t="s">
        <v>439</v>
      </c>
      <c r="AD24" s="284" t="s">
        <v>443</v>
      </c>
      <c r="AE24" s="165" t="s">
        <v>31</v>
      </c>
      <c r="AF24" s="166" t="s">
        <v>32</v>
      </c>
      <c r="AG24" s="284" t="s">
        <v>436</v>
      </c>
      <c r="AH24" s="284" t="s">
        <v>440</v>
      </c>
      <c r="AI24" s="284" t="s">
        <v>437</v>
      </c>
      <c r="AJ24" s="284" t="s">
        <v>441</v>
      </c>
      <c r="AK24" s="284" t="s">
        <v>438</v>
      </c>
      <c r="AL24" s="284" t="s">
        <v>442</v>
      </c>
      <c r="AM24" s="284" t="s">
        <v>439</v>
      </c>
      <c r="AN24" s="284" t="s">
        <v>443</v>
      </c>
      <c r="AO24" s="165" t="s">
        <v>31</v>
      </c>
      <c r="AP24" s="166" t="s">
        <v>32</v>
      </c>
      <c r="AQ24" s="284" t="s">
        <v>436</v>
      </c>
      <c r="AR24" s="284" t="s">
        <v>440</v>
      </c>
      <c r="AS24" s="284" t="s">
        <v>437</v>
      </c>
      <c r="AT24" s="284" t="s">
        <v>441</v>
      </c>
      <c r="AU24" s="284" t="s">
        <v>438</v>
      </c>
      <c r="AV24" s="284" t="s">
        <v>442</v>
      </c>
      <c r="AW24" s="284" t="s">
        <v>439</v>
      </c>
      <c r="AX24" s="284" t="s">
        <v>443</v>
      </c>
      <c r="AY24" s="165" t="s">
        <v>31</v>
      </c>
      <c r="AZ24" s="166" t="s">
        <v>32</v>
      </c>
      <c r="BA24" s="284" t="s">
        <v>436</v>
      </c>
      <c r="BB24" s="284" t="s">
        <v>440</v>
      </c>
      <c r="BC24" s="284" t="s">
        <v>437</v>
      </c>
      <c r="BD24" s="284" t="s">
        <v>441</v>
      </c>
      <c r="BE24" s="284" t="s">
        <v>438</v>
      </c>
      <c r="BF24" s="284" t="s">
        <v>442</v>
      </c>
      <c r="BG24" s="284" t="s">
        <v>439</v>
      </c>
      <c r="BH24" s="284" t="s">
        <v>443</v>
      </c>
      <c r="BI24" s="165" t="s">
        <v>31</v>
      </c>
      <c r="BJ24" s="166" t="s">
        <v>32</v>
      </c>
      <c r="BK24" s="284" t="s">
        <v>436</v>
      </c>
      <c r="BL24" s="284" t="s">
        <v>440</v>
      </c>
      <c r="BM24" s="284" t="s">
        <v>437</v>
      </c>
      <c r="BN24" s="284" t="s">
        <v>441</v>
      </c>
      <c r="BO24" s="284" t="s">
        <v>438</v>
      </c>
      <c r="BP24" s="284" t="s">
        <v>442</v>
      </c>
      <c r="BQ24" s="284" t="s">
        <v>439</v>
      </c>
      <c r="BR24" s="284" t="s">
        <v>443</v>
      </c>
      <c r="BS24" s="165" t="s">
        <v>31</v>
      </c>
      <c r="BT24" s="626" t="s">
        <v>32</v>
      </c>
      <c r="BU24" s="439" t="s">
        <v>436</v>
      </c>
      <c r="BV24" s="439" t="s">
        <v>440</v>
      </c>
      <c r="BW24" s="439" t="s">
        <v>437</v>
      </c>
      <c r="BX24" s="439" t="s">
        <v>441</v>
      </c>
      <c r="BY24" s="439" t="s">
        <v>438</v>
      </c>
      <c r="BZ24" s="439" t="s">
        <v>442</v>
      </c>
      <c r="CA24" s="439" t="s">
        <v>439</v>
      </c>
      <c r="CB24" s="284" t="s">
        <v>443</v>
      </c>
      <c r="CC24" s="165" t="s">
        <v>31</v>
      </c>
      <c r="CD24" s="166" t="s">
        <v>32</v>
      </c>
      <c r="CE24" s="284" t="s">
        <v>436</v>
      </c>
      <c r="CF24" s="284" t="s">
        <v>440</v>
      </c>
      <c r="CG24" s="284" t="s">
        <v>437</v>
      </c>
      <c r="CH24" s="284" t="s">
        <v>441</v>
      </c>
      <c r="CI24" s="284" t="s">
        <v>438</v>
      </c>
      <c r="CJ24" s="284" t="s">
        <v>442</v>
      </c>
      <c r="CK24" s="284" t="s">
        <v>439</v>
      </c>
      <c r="CL24" s="284" t="s">
        <v>443</v>
      </c>
    </row>
    <row r="25" spans="1:94" x14ac:dyDescent="0.3">
      <c r="A25" s="193" t="s">
        <v>12</v>
      </c>
      <c r="B25" s="424" t="s">
        <v>104</v>
      </c>
      <c r="C25" s="619">
        <f>C26+C27+C28+C29+C30+C31</f>
        <v>386620000</v>
      </c>
      <c r="D25" s="619">
        <f>D26+D27+D28+D29+D30+D31</f>
        <v>412343778</v>
      </c>
      <c r="E25" s="619">
        <v>0</v>
      </c>
      <c r="F25" s="619">
        <v>0</v>
      </c>
      <c r="G25" s="619">
        <f>G26+G27+G28+G29+G30+G31</f>
        <v>0</v>
      </c>
      <c r="H25" s="619">
        <f>H26+H27+H28+H29+H30+H31</f>
        <v>0</v>
      </c>
      <c r="I25" s="208">
        <f>C25+E25+G25</f>
        <v>386620000</v>
      </c>
      <c r="J25" s="177">
        <f>D25+F25+H25</f>
        <v>412343778</v>
      </c>
      <c r="K25" s="110" t="s">
        <v>12</v>
      </c>
      <c r="L25" s="123" t="s">
        <v>104</v>
      </c>
      <c r="M25" s="41">
        <f t="shared" ref="M25:R25" si="36">M26+M27+M28+M29+M30+M31</f>
        <v>65037000</v>
      </c>
      <c r="N25" s="41">
        <f t="shared" si="36"/>
        <v>66400169</v>
      </c>
      <c r="O25" s="149">
        <f t="shared" si="36"/>
        <v>0</v>
      </c>
      <c r="P25" s="149">
        <f t="shared" si="36"/>
        <v>0</v>
      </c>
      <c r="Q25" s="149">
        <f t="shared" si="36"/>
        <v>0</v>
      </c>
      <c r="R25" s="149">
        <f t="shared" si="36"/>
        <v>0</v>
      </c>
      <c r="S25" s="177">
        <f t="shared" ref="S25:T43" si="37">M25+O25+Q25</f>
        <v>65037000</v>
      </c>
      <c r="T25" s="177">
        <f t="shared" si="37"/>
        <v>66400169</v>
      </c>
      <c r="U25" s="110" t="s">
        <v>12</v>
      </c>
      <c r="V25" s="123" t="s">
        <v>104</v>
      </c>
      <c r="W25" s="41">
        <f t="shared" ref="W25:AB25" si="38">W26+W27+W28+W29+W30+W31</f>
        <v>108511000</v>
      </c>
      <c r="X25" s="41">
        <f t="shared" si="38"/>
        <v>110082677</v>
      </c>
      <c r="Y25" s="149">
        <f t="shared" si="38"/>
        <v>0</v>
      </c>
      <c r="Z25" s="149">
        <f t="shared" si="38"/>
        <v>0</v>
      </c>
      <c r="AA25" s="149">
        <f t="shared" si="38"/>
        <v>0</v>
      </c>
      <c r="AB25" s="149">
        <f t="shared" si="38"/>
        <v>0</v>
      </c>
      <c r="AC25" s="21">
        <f>W25+Y25+AA25</f>
        <v>108511000</v>
      </c>
      <c r="AD25" s="177">
        <f>X25+Z25+AB25</f>
        <v>110082677</v>
      </c>
      <c r="AE25" s="110" t="s">
        <v>12</v>
      </c>
      <c r="AF25" s="123" t="s">
        <v>104</v>
      </c>
      <c r="AG25" s="149">
        <f t="shared" ref="AG25:AL25" si="39">AG26+AG27+AG28+AG29+AG30+AG31</f>
        <v>256747000</v>
      </c>
      <c r="AH25" s="149">
        <f t="shared" si="39"/>
        <v>259855561</v>
      </c>
      <c r="AI25" s="149">
        <f t="shared" si="39"/>
        <v>0</v>
      </c>
      <c r="AJ25" s="149">
        <f t="shared" si="39"/>
        <v>0</v>
      </c>
      <c r="AK25" s="149">
        <f t="shared" si="39"/>
        <v>0</v>
      </c>
      <c r="AL25" s="149">
        <f t="shared" si="39"/>
        <v>0</v>
      </c>
      <c r="AM25" s="21">
        <f>AG25+AI25+AK25</f>
        <v>256747000</v>
      </c>
      <c r="AN25" s="177">
        <f>AH25+AJ25+AL25</f>
        <v>259855561</v>
      </c>
      <c r="AO25" s="110" t="s">
        <v>12</v>
      </c>
      <c r="AP25" s="123" t="s">
        <v>104</v>
      </c>
      <c r="AQ25" s="149">
        <f t="shared" ref="AQ25:AV25" si="40">AQ26+AQ27+AQ28+AQ29+AQ30+AQ31</f>
        <v>180033000</v>
      </c>
      <c r="AR25" s="149">
        <f t="shared" si="40"/>
        <v>181985637</v>
      </c>
      <c r="AS25" s="149">
        <f t="shared" si="40"/>
        <v>0</v>
      </c>
      <c r="AT25" s="149">
        <f t="shared" si="40"/>
        <v>0</v>
      </c>
      <c r="AU25" s="149">
        <f t="shared" si="40"/>
        <v>0</v>
      </c>
      <c r="AV25" s="149">
        <f t="shared" si="40"/>
        <v>0</v>
      </c>
      <c r="AW25" s="21">
        <f>AQ25+AS25+AU25</f>
        <v>180033000</v>
      </c>
      <c r="AX25" s="177">
        <f>AR25+AT25+AV25</f>
        <v>181985637</v>
      </c>
      <c r="AY25" s="110" t="s">
        <v>12</v>
      </c>
      <c r="AZ25" s="123" t="s">
        <v>104</v>
      </c>
      <c r="BA25" s="149">
        <f t="shared" ref="BA25:BF25" si="41">BA26+BA27+BA28+BA29+BA30+BA31</f>
        <v>49129000</v>
      </c>
      <c r="BB25" s="149">
        <f t="shared" si="41"/>
        <v>50207336</v>
      </c>
      <c r="BC25" s="149">
        <f t="shared" si="41"/>
        <v>0</v>
      </c>
      <c r="BD25" s="149">
        <f t="shared" si="41"/>
        <v>0</v>
      </c>
      <c r="BE25" s="149">
        <f t="shared" si="41"/>
        <v>0</v>
      </c>
      <c r="BF25" s="149">
        <f t="shared" si="41"/>
        <v>0</v>
      </c>
      <c r="BG25" s="21">
        <f>BA25+BC25+BE25</f>
        <v>49129000</v>
      </c>
      <c r="BH25" s="177">
        <f>BB25+BD25+BF25</f>
        <v>50207336</v>
      </c>
      <c r="BI25" s="110" t="s">
        <v>12</v>
      </c>
      <c r="BJ25" s="123" t="s">
        <v>104</v>
      </c>
      <c r="BK25" s="149">
        <f t="shared" ref="BK25:BP25" si="42">BK26+BK27+BK28+BK29+BK30+BK31</f>
        <v>23178000</v>
      </c>
      <c r="BL25" s="149">
        <f t="shared" si="42"/>
        <v>23750628</v>
      </c>
      <c r="BM25" s="149">
        <f t="shared" si="42"/>
        <v>0</v>
      </c>
      <c r="BN25" s="149">
        <f t="shared" si="42"/>
        <v>0</v>
      </c>
      <c r="BO25" s="149">
        <f t="shared" si="42"/>
        <v>0</v>
      </c>
      <c r="BP25" s="149">
        <f t="shared" si="42"/>
        <v>0</v>
      </c>
      <c r="BQ25" s="170">
        <f>BK25+BM25+BO25</f>
        <v>23178000</v>
      </c>
      <c r="BR25" s="170">
        <f>BL25+BN25+BP25</f>
        <v>23750628</v>
      </c>
      <c r="BS25" s="110" t="s">
        <v>12</v>
      </c>
      <c r="BT25" s="441" t="s">
        <v>104</v>
      </c>
      <c r="BU25" s="442">
        <f t="shared" ref="BU25:BZ25" si="43">BU26+BU27+BU28+BU29+BU30+BU31</f>
        <v>62270000</v>
      </c>
      <c r="BV25" s="442">
        <f t="shared" si="43"/>
        <v>42910919</v>
      </c>
      <c r="BW25" s="442">
        <f t="shared" si="43"/>
        <v>0</v>
      </c>
      <c r="BX25" s="442">
        <f t="shared" si="43"/>
        <v>0</v>
      </c>
      <c r="BY25" s="442">
        <f t="shared" si="43"/>
        <v>0</v>
      </c>
      <c r="BZ25" s="442">
        <f t="shared" si="43"/>
        <v>0</v>
      </c>
      <c r="CA25" s="627">
        <f>BU25+BW25+BY25</f>
        <v>62270000</v>
      </c>
      <c r="CB25" s="170">
        <f>BV25+BX25+BZ25</f>
        <v>42910919</v>
      </c>
      <c r="CC25" s="110" t="s">
        <v>12</v>
      </c>
      <c r="CD25" s="123" t="s">
        <v>104</v>
      </c>
      <c r="CE25" s="111">
        <f t="shared" ref="CE25:CF43" si="44">+BK25+BA25+AQ25+AG25+W25+M25+C25+BU25</f>
        <v>1131525000</v>
      </c>
      <c r="CF25" s="111">
        <f t="shared" si="44"/>
        <v>1147536705</v>
      </c>
      <c r="CG25" s="111">
        <f t="shared" ref="CG25:CH43" si="45">+BM25+BC25+AS25+AI25+Y25+O25+E25+BW25</f>
        <v>0</v>
      </c>
      <c r="CH25" s="111">
        <f t="shared" si="45"/>
        <v>0</v>
      </c>
      <c r="CI25" s="111">
        <f t="shared" ref="CI25:CJ43" si="46">+BO25+BE25+AU25+AK25+AA25+Q25+G25+BY25</f>
        <v>0</v>
      </c>
      <c r="CJ25" s="111">
        <f t="shared" si="46"/>
        <v>0</v>
      </c>
      <c r="CK25" s="111">
        <f t="shared" ref="CK25:CL42" si="47">+BQ25+BG25+AW25+AM25+AC25+R25+I25+CA25</f>
        <v>1066488000</v>
      </c>
      <c r="CL25" s="111">
        <f t="shared" si="47"/>
        <v>1146173536</v>
      </c>
    </row>
    <row r="26" spans="1:94" x14ac:dyDescent="0.3">
      <c r="A26" s="40" t="s">
        <v>60</v>
      </c>
      <c r="B26" s="23" t="s">
        <v>7</v>
      </c>
      <c r="C26" s="445">
        <v>262834000</v>
      </c>
      <c r="D26" s="445">
        <f>2040453+262834000</f>
        <v>264874453</v>
      </c>
      <c r="E26" s="445">
        <v>0</v>
      </c>
      <c r="F26" s="445">
        <v>0</v>
      </c>
      <c r="G26" s="445">
        <v>0</v>
      </c>
      <c r="H26" s="445">
        <v>0</v>
      </c>
      <c r="I26" s="208">
        <f t="shared" ref="I26:J43" si="48">C26+E26+G26</f>
        <v>262834000</v>
      </c>
      <c r="J26" s="177">
        <f t="shared" si="48"/>
        <v>264874453</v>
      </c>
      <c r="K26" s="40" t="s">
        <v>60</v>
      </c>
      <c r="L26" s="23" t="s">
        <v>7</v>
      </c>
      <c r="M26" s="41">
        <v>42865000</v>
      </c>
      <c r="N26" s="41">
        <v>42865000</v>
      </c>
      <c r="O26" s="41">
        <v>0</v>
      </c>
      <c r="P26" s="41">
        <v>0</v>
      </c>
      <c r="Q26" s="41">
        <v>0</v>
      </c>
      <c r="R26" s="41">
        <v>0</v>
      </c>
      <c r="S26" s="177">
        <f t="shared" si="37"/>
        <v>42865000</v>
      </c>
      <c r="T26" s="177">
        <f t="shared" si="37"/>
        <v>42865000</v>
      </c>
      <c r="U26" s="40" t="s">
        <v>60</v>
      </c>
      <c r="V26" s="23" t="s">
        <v>7</v>
      </c>
      <c r="W26" s="41">
        <v>73561000</v>
      </c>
      <c r="X26" s="41">
        <v>73561000</v>
      </c>
      <c r="Y26" s="41">
        <v>0</v>
      </c>
      <c r="Z26" s="41">
        <v>0</v>
      </c>
      <c r="AA26" s="41">
        <v>0</v>
      </c>
      <c r="AB26" s="41">
        <v>0</v>
      </c>
      <c r="AC26" s="21">
        <f t="shared" ref="AC26:AD43" si="49">W26+Y26+AA26</f>
        <v>73561000</v>
      </c>
      <c r="AD26" s="177">
        <f t="shared" si="49"/>
        <v>73561000</v>
      </c>
      <c r="AE26" s="40" t="s">
        <v>60</v>
      </c>
      <c r="AF26" s="23" t="s">
        <v>7</v>
      </c>
      <c r="AG26" s="41">
        <v>160256000</v>
      </c>
      <c r="AH26" s="41">
        <v>160256000</v>
      </c>
      <c r="AI26" s="41">
        <v>0</v>
      </c>
      <c r="AJ26" s="41">
        <v>0</v>
      </c>
      <c r="AK26" s="41">
        <v>0</v>
      </c>
      <c r="AL26" s="41">
        <v>0</v>
      </c>
      <c r="AM26" s="21">
        <f t="shared" ref="AM26:AN43" si="50">AG26+AI26+AK26</f>
        <v>160256000</v>
      </c>
      <c r="AN26" s="177">
        <f t="shared" si="50"/>
        <v>160256000</v>
      </c>
      <c r="AO26" s="40" t="s">
        <v>60</v>
      </c>
      <c r="AP26" s="23" t="s">
        <v>7</v>
      </c>
      <c r="AQ26" s="41">
        <v>117836000</v>
      </c>
      <c r="AR26" s="41">
        <v>117836000</v>
      </c>
      <c r="AS26" s="41">
        <v>0</v>
      </c>
      <c r="AT26" s="41">
        <v>0</v>
      </c>
      <c r="AU26" s="41">
        <v>0</v>
      </c>
      <c r="AV26" s="41">
        <v>0</v>
      </c>
      <c r="AW26" s="21">
        <f t="shared" ref="AW26:AX43" si="51">AQ26+AS26+AU26</f>
        <v>117836000</v>
      </c>
      <c r="AX26" s="177">
        <f t="shared" si="51"/>
        <v>117836000</v>
      </c>
      <c r="AY26" s="40" t="s">
        <v>60</v>
      </c>
      <c r="AZ26" s="23" t="s">
        <v>7</v>
      </c>
      <c r="BA26" s="41">
        <v>24946000</v>
      </c>
      <c r="BB26" s="41">
        <v>24946000</v>
      </c>
      <c r="BC26" s="41">
        <v>0</v>
      </c>
      <c r="BD26" s="41">
        <v>0</v>
      </c>
      <c r="BE26" s="41">
        <v>0</v>
      </c>
      <c r="BF26" s="41">
        <v>0</v>
      </c>
      <c r="BG26" s="21">
        <f t="shared" ref="BG26:BH43" si="52">BA26+BC26+BE26</f>
        <v>24946000</v>
      </c>
      <c r="BH26" s="177">
        <f t="shared" si="52"/>
        <v>24946000</v>
      </c>
      <c r="BI26" s="40" t="s">
        <v>60</v>
      </c>
      <c r="BJ26" s="23" t="s">
        <v>7</v>
      </c>
      <c r="BK26" s="41">
        <v>17047000</v>
      </c>
      <c r="BL26" s="41">
        <v>17047000</v>
      </c>
      <c r="BM26" s="41">
        <v>0</v>
      </c>
      <c r="BN26" s="41">
        <v>0</v>
      </c>
      <c r="BO26" s="41">
        <v>0</v>
      </c>
      <c r="BP26" s="41">
        <v>0</v>
      </c>
      <c r="BQ26" s="170">
        <f t="shared" ref="BQ26:BR43" si="53">BK26+BM26+BO26</f>
        <v>17047000</v>
      </c>
      <c r="BR26" s="170">
        <f t="shared" si="53"/>
        <v>17047000</v>
      </c>
      <c r="BS26" s="40" t="s">
        <v>60</v>
      </c>
      <c r="BT26" s="444" t="s">
        <v>7</v>
      </c>
      <c r="BU26" s="445">
        <v>38929000</v>
      </c>
      <c r="BV26" s="445">
        <f>38929000-17000000</f>
        <v>21929000</v>
      </c>
      <c r="BW26" s="445">
        <v>0</v>
      </c>
      <c r="BX26" s="445">
        <v>0</v>
      </c>
      <c r="BY26" s="445">
        <v>0</v>
      </c>
      <c r="BZ26" s="445">
        <v>0</v>
      </c>
      <c r="CA26" s="627">
        <f t="shared" ref="CA26:CB43" si="54">BU26+BW26+BY26</f>
        <v>38929000</v>
      </c>
      <c r="CB26" s="170">
        <f t="shared" si="54"/>
        <v>21929000</v>
      </c>
      <c r="CC26" s="40" t="s">
        <v>60</v>
      </c>
      <c r="CD26" s="23" t="s">
        <v>7</v>
      </c>
      <c r="CE26" s="111">
        <f t="shared" si="44"/>
        <v>738274000</v>
      </c>
      <c r="CF26" s="111">
        <f t="shared" si="44"/>
        <v>723314453</v>
      </c>
      <c r="CG26" s="111">
        <f t="shared" si="45"/>
        <v>0</v>
      </c>
      <c r="CH26" s="111">
        <f t="shared" si="45"/>
        <v>0</v>
      </c>
      <c r="CI26" s="111">
        <f t="shared" si="46"/>
        <v>0</v>
      </c>
      <c r="CJ26" s="111">
        <f t="shared" si="46"/>
        <v>0</v>
      </c>
      <c r="CK26" s="111">
        <f t="shared" si="47"/>
        <v>695409000</v>
      </c>
      <c r="CL26" s="111">
        <f t="shared" si="47"/>
        <v>723314453</v>
      </c>
    </row>
    <row r="27" spans="1:94" x14ac:dyDescent="0.3">
      <c r="A27" s="40" t="s">
        <v>61</v>
      </c>
      <c r="B27" s="23" t="s">
        <v>108</v>
      </c>
      <c r="C27" s="445">
        <v>47036000</v>
      </c>
      <c r="D27" s="445">
        <v>47036000</v>
      </c>
      <c r="E27" s="445">
        <v>0</v>
      </c>
      <c r="F27" s="445">
        <v>0</v>
      </c>
      <c r="G27" s="445">
        <v>0</v>
      </c>
      <c r="H27" s="445">
        <v>0</v>
      </c>
      <c r="I27" s="208">
        <f t="shared" si="48"/>
        <v>47036000</v>
      </c>
      <c r="J27" s="177">
        <f t="shared" si="48"/>
        <v>47036000</v>
      </c>
      <c r="K27" s="40" t="s">
        <v>61</v>
      </c>
      <c r="L27" s="23" t="s">
        <v>108</v>
      </c>
      <c r="M27" s="41">
        <v>7891000</v>
      </c>
      <c r="N27" s="41">
        <v>7891000</v>
      </c>
      <c r="O27" s="41">
        <v>0</v>
      </c>
      <c r="P27" s="41">
        <v>0</v>
      </c>
      <c r="Q27" s="41">
        <v>0</v>
      </c>
      <c r="R27" s="41">
        <v>0</v>
      </c>
      <c r="S27" s="177">
        <f t="shared" si="37"/>
        <v>7891000</v>
      </c>
      <c r="T27" s="177">
        <f t="shared" si="37"/>
        <v>7891000</v>
      </c>
      <c r="U27" s="40" t="s">
        <v>61</v>
      </c>
      <c r="V27" s="23" t="s">
        <v>108</v>
      </c>
      <c r="W27" s="41">
        <v>13902000</v>
      </c>
      <c r="X27" s="41">
        <v>13902000</v>
      </c>
      <c r="Y27" s="41">
        <v>0</v>
      </c>
      <c r="Z27" s="41">
        <v>0</v>
      </c>
      <c r="AA27" s="41">
        <v>0</v>
      </c>
      <c r="AB27" s="41">
        <v>0</v>
      </c>
      <c r="AC27" s="21">
        <f t="shared" si="49"/>
        <v>13902000</v>
      </c>
      <c r="AD27" s="177">
        <f t="shared" si="49"/>
        <v>13902000</v>
      </c>
      <c r="AE27" s="40" t="s">
        <v>61</v>
      </c>
      <c r="AF27" s="23" t="s">
        <v>108</v>
      </c>
      <c r="AG27" s="41">
        <v>32970000</v>
      </c>
      <c r="AH27" s="41">
        <v>32970000</v>
      </c>
      <c r="AI27" s="41">
        <v>0</v>
      </c>
      <c r="AJ27" s="41">
        <v>0</v>
      </c>
      <c r="AK27" s="41">
        <v>0</v>
      </c>
      <c r="AL27" s="41">
        <v>0</v>
      </c>
      <c r="AM27" s="21">
        <f t="shared" si="50"/>
        <v>32970000</v>
      </c>
      <c r="AN27" s="177">
        <f t="shared" si="50"/>
        <v>32970000</v>
      </c>
      <c r="AO27" s="40" t="s">
        <v>61</v>
      </c>
      <c r="AP27" s="23" t="s">
        <v>108</v>
      </c>
      <c r="AQ27" s="41">
        <v>21856000</v>
      </c>
      <c r="AR27" s="41">
        <v>21856000</v>
      </c>
      <c r="AS27" s="41">
        <v>0</v>
      </c>
      <c r="AT27" s="41">
        <v>0</v>
      </c>
      <c r="AU27" s="41">
        <v>0</v>
      </c>
      <c r="AV27" s="41">
        <v>0</v>
      </c>
      <c r="AW27" s="21">
        <f t="shared" si="51"/>
        <v>21856000</v>
      </c>
      <c r="AX27" s="177">
        <f t="shared" si="51"/>
        <v>21856000</v>
      </c>
      <c r="AY27" s="40" t="s">
        <v>61</v>
      </c>
      <c r="AZ27" s="23" t="s">
        <v>108</v>
      </c>
      <c r="BA27" s="41">
        <v>4568000</v>
      </c>
      <c r="BB27" s="41">
        <v>4568000</v>
      </c>
      <c r="BC27" s="41">
        <v>0</v>
      </c>
      <c r="BD27" s="41">
        <v>0</v>
      </c>
      <c r="BE27" s="41">
        <v>0</v>
      </c>
      <c r="BF27" s="41">
        <v>0</v>
      </c>
      <c r="BG27" s="21">
        <f t="shared" si="52"/>
        <v>4568000</v>
      </c>
      <c r="BH27" s="177">
        <f t="shared" si="52"/>
        <v>4568000</v>
      </c>
      <c r="BI27" s="40" t="s">
        <v>61</v>
      </c>
      <c r="BJ27" s="23" t="s">
        <v>108</v>
      </c>
      <c r="BK27" s="41">
        <v>3088000</v>
      </c>
      <c r="BL27" s="41">
        <v>3088000</v>
      </c>
      <c r="BM27" s="272">
        <v>0</v>
      </c>
      <c r="BN27" s="272">
        <v>0</v>
      </c>
      <c r="BO27" s="41">
        <v>0</v>
      </c>
      <c r="BP27" s="41">
        <v>0</v>
      </c>
      <c r="BQ27" s="170">
        <f t="shared" si="53"/>
        <v>3088000</v>
      </c>
      <c r="BR27" s="170">
        <f t="shared" si="53"/>
        <v>3088000</v>
      </c>
      <c r="BS27" s="40" t="s">
        <v>61</v>
      </c>
      <c r="BT27" s="444" t="s">
        <v>108</v>
      </c>
      <c r="BU27" s="445">
        <v>6877000</v>
      </c>
      <c r="BV27" s="445">
        <f>6877000-3000000</f>
        <v>3877000</v>
      </c>
      <c r="BW27" s="628">
        <v>0</v>
      </c>
      <c r="BX27" s="628">
        <v>0</v>
      </c>
      <c r="BY27" s="445">
        <v>0</v>
      </c>
      <c r="BZ27" s="445">
        <v>0</v>
      </c>
      <c r="CA27" s="627">
        <f t="shared" si="54"/>
        <v>6877000</v>
      </c>
      <c r="CB27" s="170">
        <f t="shared" si="54"/>
        <v>3877000</v>
      </c>
      <c r="CC27" s="40" t="s">
        <v>61</v>
      </c>
      <c r="CD27" s="23" t="s">
        <v>108</v>
      </c>
      <c r="CE27" s="111">
        <f t="shared" si="44"/>
        <v>138188000</v>
      </c>
      <c r="CF27" s="111">
        <f t="shared" si="44"/>
        <v>135188000</v>
      </c>
      <c r="CG27" s="111">
        <f t="shared" si="45"/>
        <v>0</v>
      </c>
      <c r="CH27" s="111">
        <f t="shared" si="45"/>
        <v>0</v>
      </c>
      <c r="CI27" s="111">
        <f t="shared" si="46"/>
        <v>0</v>
      </c>
      <c r="CJ27" s="111">
        <f t="shared" si="46"/>
        <v>0</v>
      </c>
      <c r="CK27" s="111">
        <f t="shared" si="47"/>
        <v>130297000</v>
      </c>
      <c r="CL27" s="111">
        <f t="shared" si="47"/>
        <v>135188000</v>
      </c>
    </row>
    <row r="28" spans="1:94" x14ac:dyDescent="0.3">
      <c r="A28" s="40" t="s">
        <v>62</v>
      </c>
      <c r="B28" s="23" t="s">
        <v>109</v>
      </c>
      <c r="C28" s="445">
        <v>76750000</v>
      </c>
      <c r="D28" s="445">
        <f>77870000+9000000</f>
        <v>86870000</v>
      </c>
      <c r="E28" s="445">
        <v>0</v>
      </c>
      <c r="F28" s="445">
        <v>0</v>
      </c>
      <c r="G28" s="445">
        <v>0</v>
      </c>
      <c r="H28" s="445">
        <v>0</v>
      </c>
      <c r="I28" s="208">
        <f t="shared" si="48"/>
        <v>76750000</v>
      </c>
      <c r="J28" s="177">
        <f t="shared" si="48"/>
        <v>86870000</v>
      </c>
      <c r="K28" s="40" t="s">
        <v>62</v>
      </c>
      <c r="L28" s="23" t="s">
        <v>109</v>
      </c>
      <c r="M28" s="41">
        <v>14281000</v>
      </c>
      <c r="N28" s="41">
        <f>13508300+30000</f>
        <v>13538300</v>
      </c>
      <c r="O28" s="41">
        <v>0</v>
      </c>
      <c r="P28" s="41">
        <v>0</v>
      </c>
      <c r="Q28" s="41">
        <v>0</v>
      </c>
      <c r="R28" s="41">
        <v>0</v>
      </c>
      <c r="S28" s="177">
        <f t="shared" si="37"/>
        <v>14281000</v>
      </c>
      <c r="T28" s="177">
        <f t="shared" si="37"/>
        <v>13538300</v>
      </c>
      <c r="U28" s="40" t="s">
        <v>62</v>
      </c>
      <c r="V28" s="23" t="s">
        <v>109</v>
      </c>
      <c r="W28" s="41">
        <v>21048000</v>
      </c>
      <c r="X28" s="41">
        <f>20988000+85000</f>
        <v>21073000</v>
      </c>
      <c r="Y28" s="41">
        <v>0</v>
      </c>
      <c r="Z28" s="41">
        <v>0</v>
      </c>
      <c r="AA28" s="41">
        <v>0</v>
      </c>
      <c r="AB28" s="41">
        <v>0</v>
      </c>
      <c r="AC28" s="21">
        <f t="shared" si="49"/>
        <v>21048000</v>
      </c>
      <c r="AD28" s="177">
        <f t="shared" si="49"/>
        <v>21073000</v>
      </c>
      <c r="AE28" s="40" t="s">
        <v>62</v>
      </c>
      <c r="AF28" s="23" t="s">
        <v>109</v>
      </c>
      <c r="AG28" s="41">
        <v>63521000</v>
      </c>
      <c r="AH28" s="41">
        <f>63131000+1674172</f>
        <v>64805172</v>
      </c>
      <c r="AI28" s="41">
        <v>0</v>
      </c>
      <c r="AJ28" s="41">
        <v>0</v>
      </c>
      <c r="AK28" s="41">
        <v>0</v>
      </c>
      <c r="AL28" s="41">
        <v>0</v>
      </c>
      <c r="AM28" s="21">
        <f t="shared" si="50"/>
        <v>63521000</v>
      </c>
      <c r="AN28" s="177">
        <f t="shared" si="50"/>
        <v>64805172</v>
      </c>
      <c r="AO28" s="40" t="s">
        <v>62</v>
      </c>
      <c r="AP28" s="23" t="s">
        <v>109</v>
      </c>
      <c r="AQ28" s="41">
        <v>40341000</v>
      </c>
      <c r="AR28" s="41">
        <f>40231000+1994030</f>
        <v>42225030</v>
      </c>
      <c r="AS28" s="41">
        <v>0</v>
      </c>
      <c r="AT28" s="41">
        <v>0</v>
      </c>
      <c r="AU28" s="41">
        <v>0</v>
      </c>
      <c r="AV28" s="41">
        <v>0</v>
      </c>
      <c r="AW28" s="21">
        <f t="shared" si="51"/>
        <v>40341000</v>
      </c>
      <c r="AX28" s="177">
        <f t="shared" si="51"/>
        <v>42225030</v>
      </c>
      <c r="AY28" s="40" t="s">
        <v>62</v>
      </c>
      <c r="AZ28" s="23" t="s">
        <v>109</v>
      </c>
      <c r="BA28" s="41">
        <v>19615000</v>
      </c>
      <c r="BB28" s="41">
        <f>19526100+680894</f>
        <v>20206994</v>
      </c>
      <c r="BC28" s="41">
        <v>0</v>
      </c>
      <c r="BD28" s="41">
        <v>0</v>
      </c>
      <c r="BE28" s="41">
        <v>0</v>
      </c>
      <c r="BF28" s="41">
        <v>0</v>
      </c>
      <c r="BG28" s="21">
        <f t="shared" si="52"/>
        <v>19615000</v>
      </c>
      <c r="BH28" s="177">
        <f t="shared" si="52"/>
        <v>20206994</v>
      </c>
      <c r="BI28" s="40" t="s">
        <v>62</v>
      </c>
      <c r="BJ28" s="23" t="s">
        <v>109</v>
      </c>
      <c r="BK28" s="41">
        <v>3043000</v>
      </c>
      <c r="BL28" s="41">
        <f>3169939+50000</f>
        <v>3219939</v>
      </c>
      <c r="BM28" s="41">
        <v>0</v>
      </c>
      <c r="BN28" s="41">
        <v>0</v>
      </c>
      <c r="BO28" s="41">
        <v>0</v>
      </c>
      <c r="BP28" s="41">
        <v>0</v>
      </c>
      <c r="BQ28" s="170">
        <f t="shared" si="53"/>
        <v>3043000</v>
      </c>
      <c r="BR28" s="170">
        <f t="shared" si="53"/>
        <v>3219939</v>
      </c>
      <c r="BS28" s="40" t="s">
        <v>62</v>
      </c>
      <c r="BT28" s="444" t="s">
        <v>109</v>
      </c>
      <c r="BU28" s="445">
        <v>16464000</v>
      </c>
      <c r="BV28" s="445">
        <f>16388000+96000</f>
        <v>16484000</v>
      </c>
      <c r="BW28" s="445">
        <v>0</v>
      </c>
      <c r="BX28" s="445">
        <v>0</v>
      </c>
      <c r="BY28" s="445">
        <v>0</v>
      </c>
      <c r="BZ28" s="445">
        <v>0</v>
      </c>
      <c r="CA28" s="627">
        <f t="shared" si="54"/>
        <v>16464000</v>
      </c>
      <c r="CB28" s="170">
        <f t="shared" si="54"/>
        <v>16484000</v>
      </c>
      <c r="CC28" s="40" t="s">
        <v>62</v>
      </c>
      <c r="CD28" s="23" t="s">
        <v>109</v>
      </c>
      <c r="CE28" s="111">
        <f t="shared" si="44"/>
        <v>255063000</v>
      </c>
      <c r="CF28" s="111">
        <f t="shared" si="44"/>
        <v>268422435</v>
      </c>
      <c r="CG28" s="111">
        <f t="shared" si="45"/>
        <v>0</v>
      </c>
      <c r="CH28" s="111">
        <f t="shared" si="45"/>
        <v>0</v>
      </c>
      <c r="CI28" s="111">
        <f t="shared" si="46"/>
        <v>0</v>
      </c>
      <c r="CJ28" s="111">
        <f t="shared" si="46"/>
        <v>0</v>
      </c>
      <c r="CK28" s="111">
        <f t="shared" si="47"/>
        <v>240782000</v>
      </c>
      <c r="CL28" s="111">
        <f t="shared" si="47"/>
        <v>269165135</v>
      </c>
    </row>
    <row r="29" spans="1:94" x14ac:dyDescent="0.3">
      <c r="A29" s="40" t="s">
        <v>63</v>
      </c>
      <c r="B29" s="23" t="s">
        <v>110</v>
      </c>
      <c r="C29" s="445">
        <v>0</v>
      </c>
      <c r="D29" s="445">
        <v>0</v>
      </c>
      <c r="E29" s="445">
        <v>0</v>
      </c>
      <c r="F29" s="445">
        <v>0</v>
      </c>
      <c r="G29" s="445">
        <v>0</v>
      </c>
      <c r="H29" s="445">
        <v>0</v>
      </c>
      <c r="I29" s="208">
        <f t="shared" si="48"/>
        <v>0</v>
      </c>
      <c r="J29" s="177">
        <f t="shared" si="48"/>
        <v>0</v>
      </c>
      <c r="K29" s="40" t="s">
        <v>63</v>
      </c>
      <c r="L29" s="23" t="s">
        <v>110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177">
        <f t="shared" si="37"/>
        <v>0</v>
      </c>
      <c r="T29" s="177">
        <f t="shared" si="37"/>
        <v>0</v>
      </c>
      <c r="U29" s="40" t="s">
        <v>63</v>
      </c>
      <c r="V29" s="23" t="s">
        <v>110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21">
        <f t="shared" si="49"/>
        <v>0</v>
      </c>
      <c r="AD29" s="177">
        <f t="shared" si="49"/>
        <v>0</v>
      </c>
      <c r="AE29" s="40" t="s">
        <v>63</v>
      </c>
      <c r="AF29" s="23" t="s">
        <v>110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21">
        <f t="shared" si="50"/>
        <v>0</v>
      </c>
      <c r="AN29" s="177">
        <f t="shared" si="50"/>
        <v>0</v>
      </c>
      <c r="AO29" s="40" t="s">
        <v>63</v>
      </c>
      <c r="AP29" s="23" t="s">
        <v>110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21">
        <f t="shared" si="51"/>
        <v>0</v>
      </c>
      <c r="AX29" s="177">
        <f t="shared" si="51"/>
        <v>0</v>
      </c>
      <c r="AY29" s="40" t="s">
        <v>63</v>
      </c>
      <c r="AZ29" s="23" t="s">
        <v>110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21">
        <f t="shared" si="52"/>
        <v>0</v>
      </c>
      <c r="BH29" s="177">
        <f t="shared" si="52"/>
        <v>0</v>
      </c>
      <c r="BI29" s="40" t="s">
        <v>63</v>
      </c>
      <c r="BJ29" s="23" t="s">
        <v>110</v>
      </c>
      <c r="BK29" s="41">
        <v>0</v>
      </c>
      <c r="BL29" s="205">
        <v>0</v>
      </c>
      <c r="BM29" s="41">
        <v>0</v>
      </c>
      <c r="BN29" s="41">
        <v>0</v>
      </c>
      <c r="BO29" s="41">
        <v>0</v>
      </c>
      <c r="BP29" s="41">
        <v>0</v>
      </c>
      <c r="BQ29" s="170">
        <f t="shared" si="53"/>
        <v>0</v>
      </c>
      <c r="BR29" s="170">
        <f t="shared" si="53"/>
        <v>0</v>
      </c>
      <c r="BS29" s="40" t="s">
        <v>63</v>
      </c>
      <c r="BT29" s="444" t="s">
        <v>110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627">
        <f t="shared" si="54"/>
        <v>0</v>
      </c>
      <c r="CB29" s="170">
        <f t="shared" si="54"/>
        <v>0</v>
      </c>
      <c r="CC29" s="40" t="s">
        <v>63</v>
      </c>
      <c r="CD29" s="23" t="s">
        <v>110</v>
      </c>
      <c r="CE29" s="111">
        <f t="shared" si="44"/>
        <v>0</v>
      </c>
      <c r="CF29" s="111">
        <f t="shared" si="44"/>
        <v>0</v>
      </c>
      <c r="CG29" s="111">
        <f t="shared" si="45"/>
        <v>0</v>
      </c>
      <c r="CH29" s="111">
        <f t="shared" si="45"/>
        <v>0</v>
      </c>
      <c r="CI29" s="111">
        <f t="shared" si="46"/>
        <v>0</v>
      </c>
      <c r="CJ29" s="111">
        <f t="shared" si="46"/>
        <v>0</v>
      </c>
      <c r="CK29" s="111">
        <f t="shared" si="47"/>
        <v>0</v>
      </c>
      <c r="CL29" s="111">
        <f t="shared" si="47"/>
        <v>0</v>
      </c>
    </row>
    <row r="30" spans="1:94" x14ac:dyDescent="0.3">
      <c r="A30" s="40" t="s">
        <v>64</v>
      </c>
      <c r="B30" s="23" t="s">
        <v>444</v>
      </c>
      <c r="C30" s="445">
        <v>0</v>
      </c>
      <c r="D30" s="621">
        <v>13563325</v>
      </c>
      <c r="E30" s="445">
        <v>0</v>
      </c>
      <c r="F30" s="445">
        <v>0</v>
      </c>
      <c r="G30" s="445">
        <v>0</v>
      </c>
      <c r="H30" s="445">
        <v>0</v>
      </c>
      <c r="I30" s="208">
        <f t="shared" si="48"/>
        <v>0</v>
      </c>
      <c r="J30" s="177">
        <f t="shared" si="48"/>
        <v>13563325</v>
      </c>
      <c r="K30" s="40" t="s">
        <v>64</v>
      </c>
      <c r="L30" s="23" t="s">
        <v>444</v>
      </c>
      <c r="M30" s="41">
        <v>0</v>
      </c>
      <c r="N30" s="622">
        <v>2105869</v>
      </c>
      <c r="O30" s="41">
        <v>0</v>
      </c>
      <c r="P30" s="41">
        <v>0</v>
      </c>
      <c r="Q30" s="41">
        <v>0</v>
      </c>
      <c r="R30" s="41">
        <v>0</v>
      </c>
      <c r="S30" s="177">
        <f t="shared" si="37"/>
        <v>0</v>
      </c>
      <c r="T30" s="177">
        <f t="shared" si="37"/>
        <v>2105869</v>
      </c>
      <c r="U30" s="40" t="s">
        <v>64</v>
      </c>
      <c r="V30" s="23" t="s">
        <v>444</v>
      </c>
      <c r="W30" s="41">
        <v>0</v>
      </c>
      <c r="X30" s="622">
        <v>1546677</v>
      </c>
      <c r="Y30" s="41">
        <v>0</v>
      </c>
      <c r="Z30" s="41">
        <v>0</v>
      </c>
      <c r="AA30" s="41">
        <v>0</v>
      </c>
      <c r="AB30" s="41">
        <v>0</v>
      </c>
      <c r="AC30" s="21">
        <f t="shared" si="49"/>
        <v>0</v>
      </c>
      <c r="AD30" s="177">
        <f t="shared" si="49"/>
        <v>1546677</v>
      </c>
      <c r="AE30" s="40" t="s">
        <v>64</v>
      </c>
      <c r="AF30" s="23" t="s">
        <v>444</v>
      </c>
      <c r="AG30" s="41">
        <v>0</v>
      </c>
      <c r="AH30" s="622">
        <v>1824389</v>
      </c>
      <c r="AI30" s="41">
        <v>0</v>
      </c>
      <c r="AJ30" s="41">
        <v>0</v>
      </c>
      <c r="AK30" s="41">
        <v>0</v>
      </c>
      <c r="AL30" s="41">
        <v>0</v>
      </c>
      <c r="AM30" s="21">
        <f t="shared" si="50"/>
        <v>0</v>
      </c>
      <c r="AN30" s="177">
        <f t="shared" si="50"/>
        <v>1824389</v>
      </c>
      <c r="AO30" s="40" t="s">
        <v>64</v>
      </c>
      <c r="AP30" s="23" t="s">
        <v>444</v>
      </c>
      <c r="AQ30" s="41">
        <v>0</v>
      </c>
      <c r="AR30" s="622">
        <v>68607</v>
      </c>
      <c r="AS30" s="41">
        <v>0</v>
      </c>
      <c r="AT30" s="41">
        <v>0</v>
      </c>
      <c r="AU30" s="41">
        <v>0</v>
      </c>
      <c r="AV30" s="41">
        <v>0</v>
      </c>
      <c r="AW30" s="21">
        <f t="shared" si="51"/>
        <v>0</v>
      </c>
      <c r="AX30" s="177">
        <f t="shared" si="51"/>
        <v>68607</v>
      </c>
      <c r="AY30" s="40" t="s">
        <v>64</v>
      </c>
      <c r="AZ30" s="23" t="s">
        <v>444</v>
      </c>
      <c r="BA30" s="41">
        <v>0</v>
      </c>
      <c r="BB30" s="182">
        <v>486342</v>
      </c>
      <c r="BC30" s="41">
        <v>0</v>
      </c>
      <c r="BD30" s="41">
        <v>0</v>
      </c>
      <c r="BE30" s="41">
        <v>0</v>
      </c>
      <c r="BF30" s="41">
        <v>0</v>
      </c>
      <c r="BG30" s="21">
        <f t="shared" si="52"/>
        <v>0</v>
      </c>
      <c r="BH30" s="177">
        <f t="shared" si="52"/>
        <v>486342</v>
      </c>
      <c r="BI30" s="40" t="s">
        <v>64</v>
      </c>
      <c r="BJ30" s="23" t="s">
        <v>444</v>
      </c>
      <c r="BK30" s="41">
        <v>0</v>
      </c>
      <c r="BL30" s="41">
        <v>395689</v>
      </c>
      <c r="BM30" s="41">
        <v>0</v>
      </c>
      <c r="BN30" s="41">
        <v>0</v>
      </c>
      <c r="BO30" s="41">
        <v>0</v>
      </c>
      <c r="BP30" s="41">
        <v>0</v>
      </c>
      <c r="BQ30" s="170">
        <f t="shared" si="53"/>
        <v>0</v>
      </c>
      <c r="BR30" s="170">
        <f t="shared" si="53"/>
        <v>395689</v>
      </c>
      <c r="BS30" s="40" t="s">
        <v>64</v>
      </c>
      <c r="BT30" s="444" t="s">
        <v>444</v>
      </c>
      <c r="BU30" s="445">
        <v>0</v>
      </c>
      <c r="BV30" s="620">
        <v>620919</v>
      </c>
      <c r="BW30" s="445">
        <v>0</v>
      </c>
      <c r="BX30" s="445">
        <v>0</v>
      </c>
      <c r="BY30" s="445">
        <v>0</v>
      </c>
      <c r="BZ30" s="445">
        <v>0</v>
      </c>
      <c r="CA30" s="627">
        <f t="shared" si="54"/>
        <v>0</v>
      </c>
      <c r="CB30" s="170">
        <f t="shared" si="54"/>
        <v>620919</v>
      </c>
      <c r="CC30" s="40" t="s">
        <v>64</v>
      </c>
      <c r="CD30" s="23" t="s">
        <v>111</v>
      </c>
      <c r="CE30" s="111">
        <f t="shared" si="44"/>
        <v>0</v>
      </c>
      <c r="CF30" s="111">
        <f t="shared" si="44"/>
        <v>20611817</v>
      </c>
      <c r="CG30" s="111">
        <f t="shared" si="45"/>
        <v>0</v>
      </c>
      <c r="CH30" s="111">
        <f t="shared" si="45"/>
        <v>0</v>
      </c>
      <c r="CI30" s="111">
        <f t="shared" si="46"/>
        <v>0</v>
      </c>
      <c r="CJ30" s="111">
        <f t="shared" si="46"/>
        <v>0</v>
      </c>
      <c r="CK30" s="111">
        <f t="shared" si="47"/>
        <v>0</v>
      </c>
      <c r="CL30" s="111">
        <f t="shared" si="47"/>
        <v>18505948</v>
      </c>
    </row>
    <row r="31" spans="1:94" x14ac:dyDescent="0.3">
      <c r="A31" s="122" t="s">
        <v>107</v>
      </c>
      <c r="B31" s="23" t="s">
        <v>9</v>
      </c>
      <c r="C31" s="445">
        <v>0</v>
      </c>
      <c r="D31" s="445">
        <v>0</v>
      </c>
      <c r="E31" s="445">
        <v>0</v>
      </c>
      <c r="F31" s="445">
        <v>0</v>
      </c>
      <c r="G31" s="445">
        <v>0</v>
      </c>
      <c r="H31" s="445">
        <v>0</v>
      </c>
      <c r="I31" s="208">
        <f t="shared" si="48"/>
        <v>0</v>
      </c>
      <c r="J31" s="177">
        <f t="shared" si="48"/>
        <v>0</v>
      </c>
      <c r="K31" s="122" t="s">
        <v>107</v>
      </c>
      <c r="L31" s="23" t="s">
        <v>9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177">
        <f t="shared" si="37"/>
        <v>0</v>
      </c>
      <c r="T31" s="177">
        <f t="shared" si="37"/>
        <v>0</v>
      </c>
      <c r="U31" s="122" t="s">
        <v>107</v>
      </c>
      <c r="V31" s="23" t="s">
        <v>9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21">
        <f t="shared" si="49"/>
        <v>0</v>
      </c>
      <c r="AD31" s="177">
        <f t="shared" si="49"/>
        <v>0</v>
      </c>
      <c r="AE31" s="122" t="s">
        <v>107</v>
      </c>
      <c r="AF31" s="23" t="s">
        <v>9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21">
        <f t="shared" si="50"/>
        <v>0</v>
      </c>
      <c r="AN31" s="177">
        <f t="shared" si="50"/>
        <v>0</v>
      </c>
      <c r="AO31" s="122" t="s">
        <v>107</v>
      </c>
      <c r="AP31" s="23" t="s">
        <v>9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21">
        <f t="shared" si="51"/>
        <v>0</v>
      </c>
      <c r="AX31" s="177">
        <f t="shared" si="51"/>
        <v>0</v>
      </c>
      <c r="AY31" s="122" t="s">
        <v>107</v>
      </c>
      <c r="AZ31" s="23" t="s">
        <v>9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21">
        <f t="shared" si="52"/>
        <v>0</v>
      </c>
      <c r="BH31" s="177">
        <f t="shared" si="52"/>
        <v>0</v>
      </c>
      <c r="BI31" s="122" t="s">
        <v>107</v>
      </c>
      <c r="BJ31" s="23" t="s">
        <v>9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170">
        <f t="shared" si="53"/>
        <v>0</v>
      </c>
      <c r="BR31" s="170">
        <f t="shared" si="53"/>
        <v>0</v>
      </c>
      <c r="BS31" s="122" t="s">
        <v>107</v>
      </c>
      <c r="BT31" s="444" t="s">
        <v>9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627">
        <f t="shared" si="54"/>
        <v>0</v>
      </c>
      <c r="CB31" s="170">
        <f t="shared" si="54"/>
        <v>0</v>
      </c>
      <c r="CC31" s="122" t="s">
        <v>107</v>
      </c>
      <c r="CD31" s="23" t="s">
        <v>9</v>
      </c>
      <c r="CE31" s="111">
        <f t="shared" si="44"/>
        <v>0</v>
      </c>
      <c r="CF31" s="111">
        <f t="shared" si="44"/>
        <v>0</v>
      </c>
      <c r="CG31" s="111">
        <f t="shared" si="45"/>
        <v>0</v>
      </c>
      <c r="CH31" s="111">
        <f t="shared" si="45"/>
        <v>0</v>
      </c>
      <c r="CI31" s="111">
        <f t="shared" si="46"/>
        <v>0</v>
      </c>
      <c r="CJ31" s="111">
        <f t="shared" si="46"/>
        <v>0</v>
      </c>
      <c r="CK31" s="111">
        <f t="shared" si="47"/>
        <v>0</v>
      </c>
      <c r="CL31" s="111">
        <f t="shared" si="47"/>
        <v>0</v>
      </c>
    </row>
    <row r="32" spans="1:94" x14ac:dyDescent="0.3">
      <c r="A32" s="122" t="s">
        <v>13</v>
      </c>
      <c r="B32" s="23" t="s">
        <v>114</v>
      </c>
      <c r="C32" s="41">
        <f>C33+C34+C35</f>
        <v>6350000</v>
      </c>
      <c r="D32" s="41">
        <f t="shared" ref="D32:H32" si="55">D33+D34+D35</f>
        <v>5230000</v>
      </c>
      <c r="E32" s="41">
        <f t="shared" si="55"/>
        <v>0</v>
      </c>
      <c r="F32" s="41">
        <f t="shared" si="55"/>
        <v>0</v>
      </c>
      <c r="G32" s="41">
        <f t="shared" si="55"/>
        <v>0</v>
      </c>
      <c r="H32" s="41">
        <f t="shared" si="55"/>
        <v>0</v>
      </c>
      <c r="I32" s="21">
        <f t="shared" si="48"/>
        <v>6350000</v>
      </c>
      <c r="J32" s="177">
        <f t="shared" si="48"/>
        <v>5230000</v>
      </c>
      <c r="K32" s="122" t="s">
        <v>13</v>
      </c>
      <c r="L32" s="23" t="s">
        <v>114</v>
      </c>
      <c r="M32" s="41">
        <f>+M33+M34</f>
        <v>0</v>
      </c>
      <c r="N32" s="41">
        <f>+N33+N34</f>
        <v>772700</v>
      </c>
      <c r="O32" s="41">
        <f>O33+O34+O35</f>
        <v>0</v>
      </c>
      <c r="P32" s="41">
        <f>P33+P34+P35</f>
        <v>0</v>
      </c>
      <c r="Q32" s="41">
        <f>Q33+Q34+Q35</f>
        <v>0</v>
      </c>
      <c r="R32" s="41">
        <f>R33+R34+R35</f>
        <v>0</v>
      </c>
      <c r="S32" s="177">
        <f t="shared" si="37"/>
        <v>0</v>
      </c>
      <c r="T32" s="177">
        <f t="shared" si="37"/>
        <v>772700</v>
      </c>
      <c r="U32" s="122" t="s">
        <v>13</v>
      </c>
      <c r="V32" s="23" t="s">
        <v>114</v>
      </c>
      <c r="W32" s="41">
        <f>+W33+W34</f>
        <v>0</v>
      </c>
      <c r="X32" s="41">
        <f>+X33+X34</f>
        <v>60000</v>
      </c>
      <c r="Y32" s="41">
        <f>Y33+Y34+Y35</f>
        <v>0</v>
      </c>
      <c r="Z32" s="41">
        <f>Z33+Z34+Z35</f>
        <v>0</v>
      </c>
      <c r="AA32" s="41">
        <f>AA33+AA34+AA35</f>
        <v>0</v>
      </c>
      <c r="AB32" s="41">
        <f>AB33+AB34+AB35</f>
        <v>0</v>
      </c>
      <c r="AC32" s="21">
        <f t="shared" si="49"/>
        <v>0</v>
      </c>
      <c r="AD32" s="177">
        <f t="shared" si="49"/>
        <v>60000</v>
      </c>
      <c r="AE32" s="122" t="s">
        <v>13</v>
      </c>
      <c r="AF32" s="23" t="s">
        <v>114</v>
      </c>
      <c r="AG32" s="41">
        <f t="shared" ref="AG32:AL32" si="56">AG33+AG34+AG35</f>
        <v>0</v>
      </c>
      <c r="AH32" s="41">
        <f t="shared" si="56"/>
        <v>390000</v>
      </c>
      <c r="AI32" s="41">
        <f t="shared" si="56"/>
        <v>0</v>
      </c>
      <c r="AJ32" s="41">
        <f t="shared" si="56"/>
        <v>0</v>
      </c>
      <c r="AK32" s="41">
        <f t="shared" si="56"/>
        <v>0</v>
      </c>
      <c r="AL32" s="41">
        <f t="shared" si="56"/>
        <v>0</v>
      </c>
      <c r="AM32" s="21">
        <f t="shared" si="50"/>
        <v>0</v>
      </c>
      <c r="AN32" s="177">
        <f t="shared" si="50"/>
        <v>390000</v>
      </c>
      <c r="AO32" s="122" t="s">
        <v>13</v>
      </c>
      <c r="AP32" s="23" t="s">
        <v>114</v>
      </c>
      <c r="AQ32" s="41">
        <f>AQ33+AQ34+AQ35</f>
        <v>0</v>
      </c>
      <c r="AR32" s="41">
        <f>AR33+AR34+AR35</f>
        <v>110000</v>
      </c>
      <c r="AS32" s="41">
        <f>AS33+AS34+AS35</f>
        <v>0</v>
      </c>
      <c r="AT32" s="41">
        <f>AT33+AT34+AT35</f>
        <v>0</v>
      </c>
      <c r="AU32" s="41">
        <v>0</v>
      </c>
      <c r="AV32" s="41">
        <v>0</v>
      </c>
      <c r="AW32" s="21">
        <f t="shared" si="51"/>
        <v>0</v>
      </c>
      <c r="AX32" s="177">
        <f t="shared" si="51"/>
        <v>110000</v>
      </c>
      <c r="AY32" s="122" t="s">
        <v>13</v>
      </c>
      <c r="AZ32" s="23" t="s">
        <v>114</v>
      </c>
      <c r="BA32" s="41">
        <v>0</v>
      </c>
      <c r="BB32" s="41">
        <f>+BB33+BB34</f>
        <v>88900</v>
      </c>
      <c r="BC32" s="41">
        <f>BC33+BC34+BC35</f>
        <v>0</v>
      </c>
      <c r="BD32" s="41">
        <f>BD33+BD34+BD35</f>
        <v>0</v>
      </c>
      <c r="BE32" s="41">
        <f>BE33+BE34+BE35</f>
        <v>0</v>
      </c>
      <c r="BF32" s="41">
        <f>BF33+BF34+BF35</f>
        <v>0</v>
      </c>
      <c r="BG32" s="21">
        <f t="shared" si="52"/>
        <v>0</v>
      </c>
      <c r="BH32" s="177">
        <f t="shared" si="52"/>
        <v>88900</v>
      </c>
      <c r="BI32" s="122" t="s">
        <v>13</v>
      </c>
      <c r="BJ32" s="23" t="s">
        <v>114</v>
      </c>
      <c r="BK32" s="41">
        <f t="shared" ref="BK32:BP32" si="57">BK33+BK34+BK35</f>
        <v>1575000</v>
      </c>
      <c r="BL32" s="41">
        <f t="shared" si="57"/>
        <v>1893750</v>
      </c>
      <c r="BM32" s="41">
        <f t="shared" si="57"/>
        <v>0</v>
      </c>
      <c r="BN32" s="41">
        <f t="shared" si="57"/>
        <v>0</v>
      </c>
      <c r="BO32" s="41">
        <f t="shared" si="57"/>
        <v>0</v>
      </c>
      <c r="BP32" s="41">
        <f t="shared" si="57"/>
        <v>0</v>
      </c>
      <c r="BQ32" s="170">
        <f t="shared" si="53"/>
        <v>1575000</v>
      </c>
      <c r="BR32" s="170">
        <f t="shared" si="53"/>
        <v>1893750</v>
      </c>
      <c r="BS32" s="122" t="s">
        <v>13</v>
      </c>
      <c r="BT32" s="23" t="s">
        <v>114</v>
      </c>
      <c r="BU32" s="41">
        <f t="shared" ref="BU32:BZ32" si="58">BU33+BU34+BU35</f>
        <v>0</v>
      </c>
      <c r="BV32" s="41">
        <f t="shared" si="58"/>
        <v>76000</v>
      </c>
      <c r="BW32" s="41">
        <f t="shared" si="58"/>
        <v>0</v>
      </c>
      <c r="BX32" s="41">
        <f t="shared" si="58"/>
        <v>0</v>
      </c>
      <c r="BY32" s="41">
        <f t="shared" si="58"/>
        <v>0</v>
      </c>
      <c r="BZ32" s="41">
        <f t="shared" si="58"/>
        <v>0</v>
      </c>
      <c r="CA32" s="170">
        <f t="shared" si="54"/>
        <v>0</v>
      </c>
      <c r="CB32" s="170">
        <f t="shared" si="54"/>
        <v>76000</v>
      </c>
      <c r="CC32" s="122" t="s">
        <v>13</v>
      </c>
      <c r="CD32" s="23" t="s">
        <v>114</v>
      </c>
      <c r="CE32" s="111">
        <f>+BK32+BA32+AQ32+AG32+W32+M32+C32+BU32</f>
        <v>7925000</v>
      </c>
      <c r="CF32" s="111">
        <f t="shared" si="44"/>
        <v>8621350</v>
      </c>
      <c r="CG32" s="111">
        <f t="shared" si="45"/>
        <v>0</v>
      </c>
      <c r="CH32" s="111">
        <f t="shared" si="45"/>
        <v>0</v>
      </c>
      <c r="CI32" s="111">
        <f t="shared" si="46"/>
        <v>0</v>
      </c>
      <c r="CJ32" s="111">
        <f t="shared" si="46"/>
        <v>0</v>
      </c>
      <c r="CK32" s="111">
        <f t="shared" si="47"/>
        <v>7925000</v>
      </c>
      <c r="CL32" s="111">
        <f t="shared" si="47"/>
        <v>7848650</v>
      </c>
    </row>
    <row r="33" spans="1:90" x14ac:dyDescent="0.3">
      <c r="A33" s="122" t="s">
        <v>55</v>
      </c>
      <c r="B33" s="23" t="s">
        <v>10</v>
      </c>
      <c r="C33" s="41">
        <v>6350000</v>
      </c>
      <c r="D33" s="41">
        <v>5230000</v>
      </c>
      <c r="E33" s="41">
        <v>0</v>
      </c>
      <c r="F33" s="41">
        <v>0</v>
      </c>
      <c r="G33" s="41">
        <v>0</v>
      </c>
      <c r="H33" s="41">
        <v>0</v>
      </c>
      <c r="I33" s="21">
        <f t="shared" si="48"/>
        <v>6350000</v>
      </c>
      <c r="J33" s="177">
        <f t="shared" si="48"/>
        <v>5230000</v>
      </c>
      <c r="K33" s="122" t="s">
        <v>55</v>
      </c>
      <c r="L33" s="23" t="s">
        <v>10</v>
      </c>
      <c r="M33" s="41">
        <v>0</v>
      </c>
      <c r="N33" s="41">
        <v>772700</v>
      </c>
      <c r="O33" s="41">
        <v>0</v>
      </c>
      <c r="P33" s="41">
        <v>0</v>
      </c>
      <c r="Q33" s="41">
        <v>0</v>
      </c>
      <c r="R33" s="41">
        <v>0</v>
      </c>
      <c r="S33" s="177">
        <f t="shared" si="37"/>
        <v>0</v>
      </c>
      <c r="T33" s="177">
        <f t="shared" si="37"/>
        <v>772700</v>
      </c>
      <c r="U33" s="122" t="s">
        <v>55</v>
      </c>
      <c r="V33" s="23" t="s">
        <v>10</v>
      </c>
      <c r="W33" s="41">
        <v>0</v>
      </c>
      <c r="X33" s="41">
        <v>60000</v>
      </c>
      <c r="Y33" s="41">
        <v>0</v>
      </c>
      <c r="Z33" s="41">
        <v>0</v>
      </c>
      <c r="AA33" s="41">
        <v>0</v>
      </c>
      <c r="AB33" s="41">
        <v>0</v>
      </c>
      <c r="AC33" s="21">
        <f t="shared" si="49"/>
        <v>0</v>
      </c>
      <c r="AD33" s="177">
        <f t="shared" si="49"/>
        <v>60000</v>
      </c>
      <c r="AE33" s="122" t="s">
        <v>55</v>
      </c>
      <c r="AF33" s="23" t="s">
        <v>10</v>
      </c>
      <c r="AG33" s="41">
        <v>0</v>
      </c>
      <c r="AH33" s="41">
        <v>390000</v>
      </c>
      <c r="AI33" s="41">
        <v>0</v>
      </c>
      <c r="AJ33" s="41">
        <v>0</v>
      </c>
      <c r="AK33" s="41">
        <v>0</v>
      </c>
      <c r="AL33" s="41">
        <v>0</v>
      </c>
      <c r="AM33" s="21">
        <f t="shared" si="50"/>
        <v>0</v>
      </c>
      <c r="AN33" s="177">
        <f t="shared" si="50"/>
        <v>390000</v>
      </c>
      <c r="AO33" s="122" t="s">
        <v>55</v>
      </c>
      <c r="AP33" s="23" t="s">
        <v>10</v>
      </c>
      <c r="AQ33" s="41">
        <v>0</v>
      </c>
      <c r="AR33" s="41">
        <v>110000</v>
      </c>
      <c r="AS33" s="41">
        <v>0</v>
      </c>
      <c r="AT33" s="41">
        <v>0</v>
      </c>
      <c r="AU33" s="41">
        <v>0</v>
      </c>
      <c r="AV33" s="41">
        <v>0</v>
      </c>
      <c r="AW33" s="21">
        <f t="shared" si="51"/>
        <v>0</v>
      </c>
      <c r="AX33" s="177">
        <f t="shared" si="51"/>
        <v>110000</v>
      </c>
      <c r="AY33" s="122" t="s">
        <v>55</v>
      </c>
      <c r="AZ33" s="23" t="s">
        <v>10</v>
      </c>
      <c r="BA33" s="41">
        <v>0</v>
      </c>
      <c r="BB33" s="41">
        <v>88900</v>
      </c>
      <c r="BC33" s="41">
        <v>0</v>
      </c>
      <c r="BD33" s="41">
        <v>0</v>
      </c>
      <c r="BE33" s="41">
        <v>0</v>
      </c>
      <c r="BF33" s="41">
        <v>0</v>
      </c>
      <c r="BG33" s="21">
        <f t="shared" si="52"/>
        <v>0</v>
      </c>
      <c r="BH33" s="177">
        <f t="shared" si="52"/>
        <v>88900</v>
      </c>
      <c r="BI33" s="122" t="s">
        <v>55</v>
      </c>
      <c r="BJ33" s="23" t="s">
        <v>10</v>
      </c>
      <c r="BK33" s="41">
        <v>1575000</v>
      </c>
      <c r="BL33" s="41">
        <v>1893750</v>
      </c>
      <c r="BM33" s="41">
        <v>0</v>
      </c>
      <c r="BN33" s="41">
        <v>0</v>
      </c>
      <c r="BO33" s="41">
        <v>0</v>
      </c>
      <c r="BP33" s="41">
        <v>0</v>
      </c>
      <c r="BQ33" s="170">
        <f t="shared" si="53"/>
        <v>1575000</v>
      </c>
      <c r="BR33" s="170">
        <f t="shared" si="53"/>
        <v>1893750</v>
      </c>
      <c r="BS33" s="122" t="s">
        <v>55</v>
      </c>
      <c r="BT33" s="23" t="s">
        <v>10</v>
      </c>
      <c r="BU33" s="41">
        <v>0</v>
      </c>
      <c r="BV33" s="41">
        <v>76000</v>
      </c>
      <c r="BW33" s="41">
        <v>0</v>
      </c>
      <c r="BX33" s="41">
        <v>0</v>
      </c>
      <c r="BY33" s="41">
        <v>0</v>
      </c>
      <c r="BZ33" s="41">
        <v>0</v>
      </c>
      <c r="CA33" s="170">
        <f t="shared" si="54"/>
        <v>0</v>
      </c>
      <c r="CB33" s="170">
        <f t="shared" si="54"/>
        <v>76000</v>
      </c>
      <c r="CC33" s="122" t="s">
        <v>55</v>
      </c>
      <c r="CD33" s="23" t="s">
        <v>10</v>
      </c>
      <c r="CE33" s="111">
        <f t="shared" si="44"/>
        <v>7925000</v>
      </c>
      <c r="CF33" s="111">
        <f t="shared" si="44"/>
        <v>8621350</v>
      </c>
      <c r="CG33" s="111">
        <f t="shared" si="45"/>
        <v>0</v>
      </c>
      <c r="CH33" s="111">
        <f t="shared" si="45"/>
        <v>0</v>
      </c>
      <c r="CI33" s="111">
        <f t="shared" si="46"/>
        <v>0</v>
      </c>
      <c r="CJ33" s="111">
        <f t="shared" si="46"/>
        <v>0</v>
      </c>
      <c r="CK33" s="111">
        <f t="shared" si="47"/>
        <v>7925000</v>
      </c>
      <c r="CL33" s="111">
        <f t="shared" si="47"/>
        <v>7848650</v>
      </c>
    </row>
    <row r="34" spans="1:90" x14ac:dyDescent="0.3">
      <c r="A34" s="122" t="s">
        <v>56</v>
      </c>
      <c r="B34" s="23" t="s">
        <v>11</v>
      </c>
      <c r="C34" s="182">
        <v>0</v>
      </c>
      <c r="D34" s="182">
        <v>0</v>
      </c>
      <c r="E34" s="41">
        <v>0</v>
      </c>
      <c r="F34" s="41">
        <v>0</v>
      </c>
      <c r="G34" s="41">
        <v>0</v>
      </c>
      <c r="H34" s="41">
        <v>0</v>
      </c>
      <c r="I34" s="21">
        <f t="shared" si="48"/>
        <v>0</v>
      </c>
      <c r="J34" s="177">
        <f t="shared" si="48"/>
        <v>0</v>
      </c>
      <c r="K34" s="122" t="s">
        <v>56</v>
      </c>
      <c r="L34" s="23" t="s">
        <v>11</v>
      </c>
      <c r="M34" s="21">
        <v>0</v>
      </c>
      <c r="N34" s="177">
        <v>0</v>
      </c>
      <c r="O34" s="41">
        <v>0</v>
      </c>
      <c r="P34" s="41">
        <v>0</v>
      </c>
      <c r="Q34" s="41">
        <v>0</v>
      </c>
      <c r="R34" s="41">
        <v>0</v>
      </c>
      <c r="S34" s="177">
        <f t="shared" si="37"/>
        <v>0</v>
      </c>
      <c r="T34" s="177">
        <f t="shared" si="37"/>
        <v>0</v>
      </c>
      <c r="U34" s="122" t="s">
        <v>56</v>
      </c>
      <c r="V34" s="23" t="s">
        <v>11</v>
      </c>
      <c r="W34" s="21">
        <v>0</v>
      </c>
      <c r="X34" s="177">
        <v>0</v>
      </c>
      <c r="Y34" s="41">
        <v>0</v>
      </c>
      <c r="Z34" s="41">
        <v>0</v>
      </c>
      <c r="AA34" s="41">
        <v>0</v>
      </c>
      <c r="AB34" s="41">
        <v>0</v>
      </c>
      <c r="AC34" s="21">
        <f t="shared" si="49"/>
        <v>0</v>
      </c>
      <c r="AD34" s="177">
        <f t="shared" si="49"/>
        <v>0</v>
      </c>
      <c r="AE34" s="122" t="s">
        <v>56</v>
      </c>
      <c r="AF34" s="23" t="s">
        <v>11</v>
      </c>
      <c r="AG34" s="65">
        <v>0</v>
      </c>
      <c r="AH34" s="182">
        <v>0</v>
      </c>
      <c r="AI34" s="41">
        <v>0</v>
      </c>
      <c r="AJ34" s="41">
        <v>0</v>
      </c>
      <c r="AK34" s="41">
        <v>0</v>
      </c>
      <c r="AL34" s="41">
        <v>0</v>
      </c>
      <c r="AM34" s="21">
        <f t="shared" si="50"/>
        <v>0</v>
      </c>
      <c r="AN34" s="177">
        <f t="shared" si="50"/>
        <v>0</v>
      </c>
      <c r="AO34" s="122" t="s">
        <v>56</v>
      </c>
      <c r="AP34" s="23" t="s">
        <v>11</v>
      </c>
      <c r="AQ34" s="65">
        <v>0</v>
      </c>
      <c r="AR34" s="182">
        <v>0</v>
      </c>
      <c r="AS34" s="41">
        <v>0</v>
      </c>
      <c r="AT34" s="41">
        <v>0</v>
      </c>
      <c r="AU34" s="41">
        <v>0</v>
      </c>
      <c r="AV34" s="41">
        <v>0</v>
      </c>
      <c r="AW34" s="21">
        <f t="shared" si="51"/>
        <v>0</v>
      </c>
      <c r="AX34" s="177">
        <f t="shared" si="51"/>
        <v>0</v>
      </c>
      <c r="AY34" s="122" t="s">
        <v>56</v>
      </c>
      <c r="AZ34" s="23" t="s">
        <v>11</v>
      </c>
      <c r="BA34" s="65">
        <v>0</v>
      </c>
      <c r="BB34" s="182">
        <v>0</v>
      </c>
      <c r="BC34" s="41">
        <v>0</v>
      </c>
      <c r="BD34" s="41">
        <v>0</v>
      </c>
      <c r="BE34" s="41">
        <v>0</v>
      </c>
      <c r="BF34" s="41">
        <v>0</v>
      </c>
      <c r="BG34" s="21">
        <f t="shared" si="52"/>
        <v>0</v>
      </c>
      <c r="BH34" s="177">
        <f t="shared" si="52"/>
        <v>0</v>
      </c>
      <c r="BI34" s="122" t="s">
        <v>56</v>
      </c>
      <c r="BJ34" s="23" t="s">
        <v>11</v>
      </c>
      <c r="BK34" s="65">
        <v>0</v>
      </c>
      <c r="BL34" s="182">
        <v>0</v>
      </c>
      <c r="BM34" s="41">
        <v>0</v>
      </c>
      <c r="BN34" s="41">
        <v>0</v>
      </c>
      <c r="BO34" s="41">
        <v>0</v>
      </c>
      <c r="BP34" s="41">
        <v>0</v>
      </c>
      <c r="BQ34" s="170">
        <f t="shared" si="53"/>
        <v>0</v>
      </c>
      <c r="BR34" s="170">
        <f t="shared" si="53"/>
        <v>0</v>
      </c>
      <c r="BS34" s="122" t="s">
        <v>56</v>
      </c>
      <c r="BT34" s="23" t="s">
        <v>11</v>
      </c>
      <c r="BU34" s="182">
        <v>0</v>
      </c>
      <c r="BV34" s="182">
        <v>0</v>
      </c>
      <c r="BW34" s="41">
        <v>0</v>
      </c>
      <c r="BX34" s="41">
        <v>0</v>
      </c>
      <c r="BY34" s="41">
        <v>0</v>
      </c>
      <c r="BZ34" s="41">
        <v>0</v>
      </c>
      <c r="CA34" s="170">
        <f t="shared" si="54"/>
        <v>0</v>
      </c>
      <c r="CB34" s="170">
        <f t="shared" si="54"/>
        <v>0</v>
      </c>
      <c r="CC34" s="122" t="s">
        <v>56</v>
      </c>
      <c r="CD34" s="23" t="s">
        <v>11</v>
      </c>
      <c r="CE34" s="111">
        <f t="shared" si="44"/>
        <v>0</v>
      </c>
      <c r="CF34" s="111">
        <f t="shared" si="44"/>
        <v>0</v>
      </c>
      <c r="CG34" s="111">
        <f t="shared" si="45"/>
        <v>0</v>
      </c>
      <c r="CH34" s="111">
        <f t="shared" si="45"/>
        <v>0</v>
      </c>
      <c r="CI34" s="111">
        <f t="shared" si="46"/>
        <v>0</v>
      </c>
      <c r="CJ34" s="111">
        <f t="shared" si="46"/>
        <v>0</v>
      </c>
      <c r="CK34" s="111">
        <f t="shared" si="47"/>
        <v>0</v>
      </c>
      <c r="CL34" s="111">
        <f t="shared" si="47"/>
        <v>0</v>
      </c>
    </row>
    <row r="35" spans="1:90" x14ac:dyDescent="0.3">
      <c r="A35" s="122" t="s">
        <v>65</v>
      </c>
      <c r="B35" s="23" t="s">
        <v>115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21">
        <f t="shared" si="48"/>
        <v>0</v>
      </c>
      <c r="J35" s="177">
        <f t="shared" si="48"/>
        <v>0</v>
      </c>
      <c r="K35" s="122" t="s">
        <v>65</v>
      </c>
      <c r="L35" s="23" t="s">
        <v>115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177">
        <f t="shared" si="37"/>
        <v>0</v>
      </c>
      <c r="T35" s="177">
        <f t="shared" si="37"/>
        <v>0</v>
      </c>
      <c r="U35" s="122" t="s">
        <v>65</v>
      </c>
      <c r="V35" s="23" t="s">
        <v>115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21">
        <f t="shared" si="49"/>
        <v>0</v>
      </c>
      <c r="AD35" s="177">
        <f t="shared" si="49"/>
        <v>0</v>
      </c>
      <c r="AE35" s="122" t="s">
        <v>65</v>
      </c>
      <c r="AF35" s="23" t="s">
        <v>115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21">
        <f t="shared" si="50"/>
        <v>0</v>
      </c>
      <c r="AN35" s="177">
        <f t="shared" si="50"/>
        <v>0</v>
      </c>
      <c r="AO35" s="122" t="s">
        <v>65</v>
      </c>
      <c r="AP35" s="23" t="s">
        <v>115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21">
        <f t="shared" si="51"/>
        <v>0</v>
      </c>
      <c r="AX35" s="177">
        <f t="shared" si="51"/>
        <v>0</v>
      </c>
      <c r="AY35" s="122" t="s">
        <v>65</v>
      </c>
      <c r="AZ35" s="23" t="s">
        <v>115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21">
        <f t="shared" si="52"/>
        <v>0</v>
      </c>
      <c r="BH35" s="177">
        <f t="shared" si="52"/>
        <v>0</v>
      </c>
      <c r="BI35" s="122" t="s">
        <v>65</v>
      </c>
      <c r="BJ35" s="23" t="s">
        <v>115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170">
        <f t="shared" si="53"/>
        <v>0</v>
      </c>
      <c r="BR35" s="170">
        <f t="shared" si="53"/>
        <v>0</v>
      </c>
      <c r="BS35" s="122" t="s">
        <v>65</v>
      </c>
      <c r="BT35" s="23" t="s">
        <v>115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170">
        <f t="shared" si="54"/>
        <v>0</v>
      </c>
      <c r="CB35" s="170">
        <f t="shared" si="54"/>
        <v>0</v>
      </c>
      <c r="CC35" s="122" t="s">
        <v>65</v>
      </c>
      <c r="CD35" s="23" t="s">
        <v>115</v>
      </c>
      <c r="CE35" s="111">
        <f t="shared" si="44"/>
        <v>0</v>
      </c>
      <c r="CF35" s="111">
        <f t="shared" si="44"/>
        <v>0</v>
      </c>
      <c r="CG35" s="111">
        <f t="shared" si="45"/>
        <v>0</v>
      </c>
      <c r="CH35" s="111">
        <f t="shared" si="45"/>
        <v>0</v>
      </c>
      <c r="CI35" s="111">
        <f t="shared" si="46"/>
        <v>0</v>
      </c>
      <c r="CJ35" s="111">
        <f t="shared" si="46"/>
        <v>0</v>
      </c>
      <c r="CK35" s="111">
        <f t="shared" si="47"/>
        <v>0</v>
      </c>
      <c r="CL35" s="111">
        <f t="shared" si="47"/>
        <v>0</v>
      </c>
    </row>
    <row r="36" spans="1:90" x14ac:dyDescent="0.3">
      <c r="A36" s="122" t="s">
        <v>14</v>
      </c>
      <c r="B36" s="22" t="s">
        <v>116</v>
      </c>
      <c r="C36" s="41">
        <f t="shared" ref="C36:H36" si="59">C25+C32</f>
        <v>392970000</v>
      </c>
      <c r="D36" s="41">
        <f t="shared" si="59"/>
        <v>417573778</v>
      </c>
      <c r="E36" s="41">
        <f t="shared" si="59"/>
        <v>0</v>
      </c>
      <c r="F36" s="41">
        <f t="shared" si="59"/>
        <v>0</v>
      </c>
      <c r="G36" s="41">
        <f t="shared" si="59"/>
        <v>0</v>
      </c>
      <c r="H36" s="41">
        <f t="shared" si="59"/>
        <v>0</v>
      </c>
      <c r="I36" s="21">
        <f t="shared" si="48"/>
        <v>392970000</v>
      </c>
      <c r="J36" s="177">
        <f t="shared" si="48"/>
        <v>417573778</v>
      </c>
      <c r="K36" s="122" t="s">
        <v>14</v>
      </c>
      <c r="L36" s="22" t="s">
        <v>116</v>
      </c>
      <c r="M36" s="41">
        <f>M25+M32</f>
        <v>65037000</v>
      </c>
      <c r="N36" s="41">
        <f>N25+N32</f>
        <v>67172869</v>
      </c>
      <c r="O36" s="41">
        <f t="shared" ref="O36:R36" si="60">O25+O32</f>
        <v>0</v>
      </c>
      <c r="P36" s="41">
        <f t="shared" si="60"/>
        <v>0</v>
      </c>
      <c r="Q36" s="41">
        <f t="shared" si="60"/>
        <v>0</v>
      </c>
      <c r="R36" s="41">
        <f t="shared" si="60"/>
        <v>0</v>
      </c>
      <c r="S36" s="177">
        <f t="shared" si="37"/>
        <v>65037000</v>
      </c>
      <c r="T36" s="177">
        <f t="shared" si="37"/>
        <v>67172869</v>
      </c>
      <c r="U36" s="122" t="s">
        <v>14</v>
      </c>
      <c r="V36" s="22" t="s">
        <v>116</v>
      </c>
      <c r="W36" s="41">
        <f t="shared" ref="W36:AB36" si="61">W25+W32</f>
        <v>108511000</v>
      </c>
      <c r="X36" s="41">
        <f t="shared" si="61"/>
        <v>110142677</v>
      </c>
      <c r="Y36" s="41">
        <f t="shared" si="61"/>
        <v>0</v>
      </c>
      <c r="Z36" s="41">
        <f t="shared" si="61"/>
        <v>0</v>
      </c>
      <c r="AA36" s="41">
        <f t="shared" si="61"/>
        <v>0</v>
      </c>
      <c r="AB36" s="41">
        <f t="shared" si="61"/>
        <v>0</v>
      </c>
      <c r="AC36" s="21">
        <f t="shared" si="49"/>
        <v>108511000</v>
      </c>
      <c r="AD36" s="177">
        <f t="shared" si="49"/>
        <v>110142677</v>
      </c>
      <c r="AE36" s="122" t="s">
        <v>14</v>
      </c>
      <c r="AF36" s="22" t="s">
        <v>116</v>
      </c>
      <c r="AG36" s="41">
        <f t="shared" ref="AG36:AL36" si="62">AG25+AG32</f>
        <v>256747000</v>
      </c>
      <c r="AH36" s="41">
        <f t="shared" si="62"/>
        <v>260245561</v>
      </c>
      <c r="AI36" s="41">
        <f t="shared" si="62"/>
        <v>0</v>
      </c>
      <c r="AJ36" s="41">
        <f t="shared" si="62"/>
        <v>0</v>
      </c>
      <c r="AK36" s="41">
        <f t="shared" si="62"/>
        <v>0</v>
      </c>
      <c r="AL36" s="41">
        <f t="shared" si="62"/>
        <v>0</v>
      </c>
      <c r="AM36" s="21">
        <f t="shared" si="50"/>
        <v>256747000</v>
      </c>
      <c r="AN36" s="177">
        <f t="shared" si="50"/>
        <v>260245561</v>
      </c>
      <c r="AO36" s="122" t="s">
        <v>14</v>
      </c>
      <c r="AP36" s="22" t="s">
        <v>116</v>
      </c>
      <c r="AQ36" s="41">
        <f t="shared" ref="AQ36:AV36" si="63">AQ25+AQ32</f>
        <v>180033000</v>
      </c>
      <c r="AR36" s="41">
        <f t="shared" si="63"/>
        <v>182095637</v>
      </c>
      <c r="AS36" s="41">
        <f t="shared" si="63"/>
        <v>0</v>
      </c>
      <c r="AT36" s="41">
        <f t="shared" si="63"/>
        <v>0</v>
      </c>
      <c r="AU36" s="41">
        <f t="shared" si="63"/>
        <v>0</v>
      </c>
      <c r="AV36" s="41">
        <f t="shared" si="63"/>
        <v>0</v>
      </c>
      <c r="AW36" s="21">
        <f t="shared" si="51"/>
        <v>180033000</v>
      </c>
      <c r="AX36" s="177">
        <f t="shared" si="51"/>
        <v>182095637</v>
      </c>
      <c r="AY36" s="122" t="s">
        <v>14</v>
      </c>
      <c r="AZ36" s="22" t="s">
        <v>116</v>
      </c>
      <c r="BA36" s="41">
        <f t="shared" ref="BA36:BF36" si="64">BA25+BA32</f>
        <v>49129000</v>
      </c>
      <c r="BB36" s="41">
        <f t="shared" si="64"/>
        <v>50296236</v>
      </c>
      <c r="BC36" s="41">
        <f t="shared" si="64"/>
        <v>0</v>
      </c>
      <c r="BD36" s="41">
        <f t="shared" si="64"/>
        <v>0</v>
      </c>
      <c r="BE36" s="41">
        <f t="shared" si="64"/>
        <v>0</v>
      </c>
      <c r="BF36" s="41">
        <f t="shared" si="64"/>
        <v>0</v>
      </c>
      <c r="BG36" s="21">
        <f t="shared" si="52"/>
        <v>49129000</v>
      </c>
      <c r="BH36" s="177">
        <f t="shared" si="52"/>
        <v>50296236</v>
      </c>
      <c r="BI36" s="122" t="s">
        <v>14</v>
      </c>
      <c r="BJ36" s="22" t="s">
        <v>116</v>
      </c>
      <c r="BK36" s="41">
        <f t="shared" ref="BK36:BP36" si="65">BK25+BK32</f>
        <v>24753000</v>
      </c>
      <c r="BL36" s="41">
        <f t="shared" si="65"/>
        <v>25644378</v>
      </c>
      <c r="BM36" s="41">
        <f t="shared" si="65"/>
        <v>0</v>
      </c>
      <c r="BN36" s="41">
        <f t="shared" si="65"/>
        <v>0</v>
      </c>
      <c r="BO36" s="41">
        <f t="shared" si="65"/>
        <v>0</v>
      </c>
      <c r="BP36" s="41">
        <f t="shared" si="65"/>
        <v>0</v>
      </c>
      <c r="BQ36" s="170">
        <f t="shared" si="53"/>
        <v>24753000</v>
      </c>
      <c r="BR36" s="170">
        <f t="shared" si="53"/>
        <v>25644378</v>
      </c>
      <c r="BS36" s="122" t="s">
        <v>14</v>
      </c>
      <c r="BT36" s="195" t="s">
        <v>116</v>
      </c>
      <c r="BU36" s="41">
        <f t="shared" ref="BU36:BZ36" si="66">BU25+BU32</f>
        <v>62270000</v>
      </c>
      <c r="BV36" s="41">
        <f t="shared" si="66"/>
        <v>42986919</v>
      </c>
      <c r="BW36" s="41">
        <f t="shared" si="66"/>
        <v>0</v>
      </c>
      <c r="BX36" s="41">
        <f t="shared" si="66"/>
        <v>0</v>
      </c>
      <c r="BY36" s="41">
        <f t="shared" si="66"/>
        <v>0</v>
      </c>
      <c r="BZ36" s="41">
        <f t="shared" si="66"/>
        <v>0</v>
      </c>
      <c r="CA36" s="170">
        <f t="shared" si="54"/>
        <v>62270000</v>
      </c>
      <c r="CB36" s="170">
        <f t="shared" si="54"/>
        <v>42986919</v>
      </c>
      <c r="CC36" s="122" t="s">
        <v>14</v>
      </c>
      <c r="CD36" s="22" t="s">
        <v>116</v>
      </c>
      <c r="CE36" s="111">
        <f t="shared" si="44"/>
        <v>1139450000</v>
      </c>
      <c r="CF36" s="111">
        <f t="shared" si="44"/>
        <v>1156158055</v>
      </c>
      <c r="CG36" s="111">
        <f t="shared" si="45"/>
        <v>0</v>
      </c>
      <c r="CH36" s="111">
        <f t="shared" si="45"/>
        <v>0</v>
      </c>
      <c r="CI36" s="111">
        <f t="shared" si="46"/>
        <v>0</v>
      </c>
      <c r="CJ36" s="111">
        <f t="shared" si="46"/>
        <v>0</v>
      </c>
      <c r="CK36" s="111">
        <f t="shared" si="47"/>
        <v>1074413000</v>
      </c>
      <c r="CL36" s="111">
        <f t="shared" si="47"/>
        <v>1154022186</v>
      </c>
    </row>
    <row r="37" spans="1:90" x14ac:dyDescent="0.3">
      <c r="A37" s="40" t="s">
        <v>15</v>
      </c>
      <c r="B37" s="23" t="s">
        <v>117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21">
        <f t="shared" si="48"/>
        <v>0</v>
      </c>
      <c r="J37" s="177">
        <f t="shared" si="48"/>
        <v>0</v>
      </c>
      <c r="K37" s="40" t="s">
        <v>15</v>
      </c>
      <c r="L37" s="23" t="s">
        <v>117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177">
        <f t="shared" si="37"/>
        <v>0</v>
      </c>
      <c r="T37" s="177">
        <f t="shared" si="37"/>
        <v>0</v>
      </c>
      <c r="U37" s="40" t="s">
        <v>15</v>
      </c>
      <c r="V37" s="23" t="s">
        <v>117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21">
        <f t="shared" si="49"/>
        <v>0</v>
      </c>
      <c r="AD37" s="177">
        <f t="shared" si="49"/>
        <v>0</v>
      </c>
      <c r="AE37" s="40" t="s">
        <v>15</v>
      </c>
      <c r="AF37" s="23" t="s">
        <v>117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21">
        <f t="shared" si="50"/>
        <v>0</v>
      </c>
      <c r="AN37" s="177">
        <f t="shared" si="50"/>
        <v>0</v>
      </c>
      <c r="AO37" s="40" t="s">
        <v>15</v>
      </c>
      <c r="AP37" s="23" t="s">
        <v>117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21">
        <f t="shared" si="51"/>
        <v>0</v>
      </c>
      <c r="AX37" s="177">
        <f t="shared" si="51"/>
        <v>0</v>
      </c>
      <c r="AY37" s="40" t="s">
        <v>15</v>
      </c>
      <c r="AZ37" s="23" t="s">
        <v>117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21">
        <f t="shared" si="52"/>
        <v>0</v>
      </c>
      <c r="BH37" s="177">
        <f t="shared" si="52"/>
        <v>0</v>
      </c>
      <c r="BI37" s="40" t="s">
        <v>15</v>
      </c>
      <c r="BJ37" s="23" t="s">
        <v>117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170">
        <f t="shared" si="53"/>
        <v>0</v>
      </c>
      <c r="BR37" s="170">
        <f t="shared" si="53"/>
        <v>0</v>
      </c>
      <c r="BS37" s="40" t="s">
        <v>15</v>
      </c>
      <c r="BT37" s="23" t="s">
        <v>117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170">
        <f t="shared" si="54"/>
        <v>0</v>
      </c>
      <c r="CB37" s="170">
        <f t="shared" si="54"/>
        <v>0</v>
      </c>
      <c r="CC37" s="40" t="s">
        <v>15</v>
      </c>
      <c r="CD37" s="23" t="s">
        <v>117</v>
      </c>
      <c r="CE37" s="111">
        <f t="shared" si="44"/>
        <v>0</v>
      </c>
      <c r="CF37" s="111">
        <f t="shared" si="44"/>
        <v>0</v>
      </c>
      <c r="CG37" s="111">
        <f t="shared" si="45"/>
        <v>0</v>
      </c>
      <c r="CH37" s="111">
        <f t="shared" si="45"/>
        <v>0</v>
      </c>
      <c r="CI37" s="111">
        <f t="shared" si="46"/>
        <v>0</v>
      </c>
      <c r="CJ37" s="111">
        <f t="shared" si="46"/>
        <v>0</v>
      </c>
      <c r="CK37" s="111">
        <f t="shared" si="47"/>
        <v>0</v>
      </c>
      <c r="CL37" s="111">
        <f t="shared" si="47"/>
        <v>0</v>
      </c>
    </row>
    <row r="38" spans="1:90" x14ac:dyDescent="0.3">
      <c r="A38" s="40" t="s">
        <v>16</v>
      </c>
      <c r="B38" s="23" t="s">
        <v>118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1">
        <f t="shared" si="48"/>
        <v>0</v>
      </c>
      <c r="J38" s="177">
        <f t="shared" si="48"/>
        <v>0</v>
      </c>
      <c r="K38" s="40" t="s">
        <v>16</v>
      </c>
      <c r="L38" s="23" t="s">
        <v>118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177">
        <f t="shared" si="37"/>
        <v>0</v>
      </c>
      <c r="T38" s="177">
        <f t="shared" si="37"/>
        <v>0</v>
      </c>
      <c r="U38" s="40" t="s">
        <v>16</v>
      </c>
      <c r="V38" s="23" t="s">
        <v>118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21">
        <f t="shared" si="49"/>
        <v>0</v>
      </c>
      <c r="AD38" s="177">
        <f t="shared" si="49"/>
        <v>0</v>
      </c>
      <c r="AE38" s="40" t="s">
        <v>16</v>
      </c>
      <c r="AF38" s="23" t="s">
        <v>118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21">
        <f t="shared" si="50"/>
        <v>0</v>
      </c>
      <c r="AN38" s="177">
        <f t="shared" si="50"/>
        <v>0</v>
      </c>
      <c r="AO38" s="40" t="s">
        <v>16</v>
      </c>
      <c r="AP38" s="23" t="s">
        <v>118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21">
        <f t="shared" si="51"/>
        <v>0</v>
      </c>
      <c r="AX38" s="177">
        <f t="shared" si="51"/>
        <v>0</v>
      </c>
      <c r="AY38" s="40" t="s">
        <v>16</v>
      </c>
      <c r="AZ38" s="23" t="s">
        <v>118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21">
        <f t="shared" si="52"/>
        <v>0</v>
      </c>
      <c r="BH38" s="177">
        <f t="shared" si="52"/>
        <v>0</v>
      </c>
      <c r="BI38" s="40" t="s">
        <v>16</v>
      </c>
      <c r="BJ38" s="23" t="s">
        <v>118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170">
        <f t="shared" si="53"/>
        <v>0</v>
      </c>
      <c r="BR38" s="170">
        <f t="shared" si="53"/>
        <v>0</v>
      </c>
      <c r="BS38" s="40" t="s">
        <v>16</v>
      </c>
      <c r="BT38" s="23" t="s">
        <v>118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170">
        <f t="shared" si="54"/>
        <v>0</v>
      </c>
      <c r="CB38" s="170">
        <f t="shared" si="54"/>
        <v>0</v>
      </c>
      <c r="CC38" s="40" t="s">
        <v>16</v>
      </c>
      <c r="CD38" s="23" t="s">
        <v>118</v>
      </c>
      <c r="CE38" s="111">
        <f t="shared" si="44"/>
        <v>0</v>
      </c>
      <c r="CF38" s="111">
        <f t="shared" si="44"/>
        <v>0</v>
      </c>
      <c r="CG38" s="111">
        <f t="shared" si="45"/>
        <v>0</v>
      </c>
      <c r="CH38" s="111">
        <f t="shared" si="45"/>
        <v>0</v>
      </c>
      <c r="CI38" s="111">
        <f t="shared" si="46"/>
        <v>0</v>
      </c>
      <c r="CJ38" s="111">
        <f t="shared" si="46"/>
        <v>0</v>
      </c>
      <c r="CK38" s="111">
        <f t="shared" si="47"/>
        <v>0</v>
      </c>
      <c r="CL38" s="111">
        <f t="shared" si="47"/>
        <v>0</v>
      </c>
    </row>
    <row r="39" spans="1:90" x14ac:dyDescent="0.3">
      <c r="A39" s="40" t="s">
        <v>17</v>
      </c>
      <c r="B39" s="23" t="s">
        <v>119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21">
        <f t="shared" si="48"/>
        <v>0</v>
      </c>
      <c r="J39" s="177">
        <f t="shared" si="48"/>
        <v>0</v>
      </c>
      <c r="K39" s="40" t="s">
        <v>17</v>
      </c>
      <c r="L39" s="23" t="s">
        <v>119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177">
        <f t="shared" si="37"/>
        <v>0</v>
      </c>
      <c r="T39" s="177">
        <f t="shared" si="37"/>
        <v>0</v>
      </c>
      <c r="U39" s="40" t="s">
        <v>17</v>
      </c>
      <c r="V39" s="23" t="s">
        <v>119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21">
        <f t="shared" si="49"/>
        <v>0</v>
      </c>
      <c r="AD39" s="177">
        <f t="shared" si="49"/>
        <v>0</v>
      </c>
      <c r="AE39" s="40" t="s">
        <v>17</v>
      </c>
      <c r="AF39" s="23" t="s">
        <v>119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21">
        <f t="shared" si="50"/>
        <v>0</v>
      </c>
      <c r="AN39" s="177">
        <f t="shared" si="50"/>
        <v>0</v>
      </c>
      <c r="AO39" s="40" t="s">
        <v>17</v>
      </c>
      <c r="AP39" s="23" t="s">
        <v>119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21">
        <f t="shared" si="51"/>
        <v>0</v>
      </c>
      <c r="AX39" s="177">
        <f t="shared" si="51"/>
        <v>0</v>
      </c>
      <c r="AY39" s="40" t="s">
        <v>17</v>
      </c>
      <c r="AZ39" s="23" t="s">
        <v>119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21">
        <f t="shared" si="52"/>
        <v>0</v>
      </c>
      <c r="BH39" s="177">
        <f t="shared" si="52"/>
        <v>0</v>
      </c>
      <c r="BI39" s="40" t="s">
        <v>17</v>
      </c>
      <c r="BJ39" s="23" t="s">
        <v>119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170">
        <f t="shared" si="53"/>
        <v>0</v>
      </c>
      <c r="BR39" s="170">
        <f t="shared" si="53"/>
        <v>0</v>
      </c>
      <c r="BS39" s="40" t="s">
        <v>17</v>
      </c>
      <c r="BT39" s="23" t="s">
        <v>119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170">
        <f t="shared" si="54"/>
        <v>0</v>
      </c>
      <c r="CB39" s="170">
        <f t="shared" si="54"/>
        <v>0</v>
      </c>
      <c r="CC39" s="40" t="s">
        <v>17</v>
      </c>
      <c r="CD39" s="23" t="s">
        <v>119</v>
      </c>
      <c r="CE39" s="111">
        <f t="shared" si="44"/>
        <v>0</v>
      </c>
      <c r="CF39" s="111">
        <f t="shared" si="44"/>
        <v>0</v>
      </c>
      <c r="CG39" s="111">
        <f t="shared" si="45"/>
        <v>0</v>
      </c>
      <c r="CH39" s="111">
        <f t="shared" si="45"/>
        <v>0</v>
      </c>
      <c r="CI39" s="111">
        <f t="shared" si="46"/>
        <v>0</v>
      </c>
      <c r="CJ39" s="111">
        <f t="shared" si="46"/>
        <v>0</v>
      </c>
      <c r="CK39" s="111">
        <f t="shared" si="47"/>
        <v>0</v>
      </c>
      <c r="CL39" s="111">
        <f t="shared" si="47"/>
        <v>0</v>
      </c>
    </row>
    <row r="40" spans="1:90" x14ac:dyDescent="0.3">
      <c r="A40" s="40"/>
      <c r="B40" s="23" t="s">
        <v>120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21">
        <f t="shared" si="48"/>
        <v>0</v>
      </c>
      <c r="J40" s="177">
        <f t="shared" si="48"/>
        <v>0</v>
      </c>
      <c r="K40" s="40"/>
      <c r="L40" s="23" t="s">
        <v>120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177">
        <f t="shared" si="37"/>
        <v>0</v>
      </c>
      <c r="T40" s="177">
        <f t="shared" si="37"/>
        <v>0</v>
      </c>
      <c r="U40" s="40"/>
      <c r="V40" s="23" t="s">
        <v>120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21">
        <f t="shared" si="49"/>
        <v>0</v>
      </c>
      <c r="AD40" s="177">
        <f t="shared" si="49"/>
        <v>0</v>
      </c>
      <c r="AE40" s="40"/>
      <c r="AF40" s="23" t="s">
        <v>120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21">
        <f t="shared" si="50"/>
        <v>0</v>
      </c>
      <c r="AN40" s="177">
        <f t="shared" si="50"/>
        <v>0</v>
      </c>
      <c r="AO40" s="40"/>
      <c r="AP40" s="23" t="s">
        <v>120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21">
        <f t="shared" si="51"/>
        <v>0</v>
      </c>
      <c r="AX40" s="177">
        <f t="shared" si="51"/>
        <v>0</v>
      </c>
      <c r="AY40" s="40"/>
      <c r="AZ40" s="23" t="s">
        <v>120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21">
        <f t="shared" si="52"/>
        <v>0</v>
      </c>
      <c r="BH40" s="177">
        <f t="shared" si="52"/>
        <v>0</v>
      </c>
      <c r="BI40" s="40"/>
      <c r="BJ40" s="23" t="s">
        <v>120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170">
        <f t="shared" si="53"/>
        <v>0</v>
      </c>
      <c r="BR40" s="170">
        <f t="shared" si="53"/>
        <v>0</v>
      </c>
      <c r="BS40" s="40"/>
      <c r="BT40" s="23" t="s">
        <v>120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1">
        <v>0</v>
      </c>
      <c r="CA40" s="170">
        <f t="shared" si="54"/>
        <v>0</v>
      </c>
      <c r="CB40" s="170">
        <f t="shared" si="54"/>
        <v>0</v>
      </c>
      <c r="CC40" s="40"/>
      <c r="CD40" s="23" t="s">
        <v>120</v>
      </c>
      <c r="CE40" s="111">
        <f t="shared" si="44"/>
        <v>0</v>
      </c>
      <c r="CF40" s="111">
        <f t="shared" si="44"/>
        <v>0</v>
      </c>
      <c r="CG40" s="111">
        <f t="shared" si="45"/>
        <v>0</v>
      </c>
      <c r="CH40" s="111">
        <f t="shared" si="45"/>
        <v>0</v>
      </c>
      <c r="CI40" s="111">
        <f t="shared" si="46"/>
        <v>0</v>
      </c>
      <c r="CJ40" s="111">
        <f t="shared" si="46"/>
        <v>0</v>
      </c>
      <c r="CK40" s="111">
        <f t="shared" si="47"/>
        <v>0</v>
      </c>
      <c r="CL40" s="111">
        <f t="shared" si="47"/>
        <v>0</v>
      </c>
    </row>
    <row r="41" spans="1:90" x14ac:dyDescent="0.3">
      <c r="A41" s="40" t="s">
        <v>18</v>
      </c>
      <c r="B41" s="23" t="s">
        <v>121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21">
        <f t="shared" si="48"/>
        <v>0</v>
      </c>
      <c r="J41" s="177">
        <f t="shared" si="48"/>
        <v>0</v>
      </c>
      <c r="K41" s="40" t="s">
        <v>18</v>
      </c>
      <c r="L41" s="23" t="s">
        <v>121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177">
        <f t="shared" si="37"/>
        <v>0</v>
      </c>
      <c r="T41" s="177">
        <f t="shared" si="37"/>
        <v>0</v>
      </c>
      <c r="U41" s="40" t="s">
        <v>18</v>
      </c>
      <c r="V41" s="23" t="s">
        <v>121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21">
        <f t="shared" si="49"/>
        <v>0</v>
      </c>
      <c r="AD41" s="177">
        <f t="shared" si="49"/>
        <v>0</v>
      </c>
      <c r="AE41" s="40" t="s">
        <v>18</v>
      </c>
      <c r="AF41" s="23" t="s">
        <v>121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21">
        <f t="shared" si="50"/>
        <v>0</v>
      </c>
      <c r="AN41" s="177">
        <f t="shared" si="50"/>
        <v>0</v>
      </c>
      <c r="AO41" s="40" t="s">
        <v>18</v>
      </c>
      <c r="AP41" s="23" t="s">
        <v>121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21">
        <f t="shared" si="51"/>
        <v>0</v>
      </c>
      <c r="AX41" s="177">
        <f t="shared" si="51"/>
        <v>0</v>
      </c>
      <c r="AY41" s="40" t="s">
        <v>18</v>
      </c>
      <c r="AZ41" s="23" t="s">
        <v>121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21">
        <f t="shared" si="52"/>
        <v>0</v>
      </c>
      <c r="BH41" s="177">
        <f t="shared" si="52"/>
        <v>0</v>
      </c>
      <c r="BI41" s="40" t="s">
        <v>18</v>
      </c>
      <c r="BJ41" s="23" t="s">
        <v>121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170">
        <f t="shared" si="53"/>
        <v>0</v>
      </c>
      <c r="BR41" s="170">
        <f t="shared" si="53"/>
        <v>0</v>
      </c>
      <c r="BS41" s="40" t="s">
        <v>18</v>
      </c>
      <c r="BT41" s="23" t="s">
        <v>121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170">
        <f t="shared" si="54"/>
        <v>0</v>
      </c>
      <c r="CB41" s="170">
        <f t="shared" si="54"/>
        <v>0</v>
      </c>
      <c r="CC41" s="40" t="s">
        <v>18</v>
      </c>
      <c r="CD41" s="23" t="s">
        <v>121</v>
      </c>
      <c r="CE41" s="111">
        <f t="shared" si="44"/>
        <v>0</v>
      </c>
      <c r="CF41" s="111">
        <f t="shared" si="44"/>
        <v>0</v>
      </c>
      <c r="CG41" s="111">
        <f t="shared" si="45"/>
        <v>0</v>
      </c>
      <c r="CH41" s="111">
        <f t="shared" si="45"/>
        <v>0</v>
      </c>
      <c r="CI41" s="111">
        <f t="shared" si="46"/>
        <v>0</v>
      </c>
      <c r="CJ41" s="111">
        <f t="shared" si="46"/>
        <v>0</v>
      </c>
      <c r="CK41" s="111">
        <f t="shared" si="47"/>
        <v>0</v>
      </c>
      <c r="CL41" s="111">
        <f t="shared" si="47"/>
        <v>0</v>
      </c>
    </row>
    <row r="42" spans="1:90" x14ac:dyDescent="0.3">
      <c r="A42" s="40" t="s">
        <v>19</v>
      </c>
      <c r="B42" s="22" t="s">
        <v>122</v>
      </c>
      <c r="C42" s="41">
        <f t="shared" ref="C42:H42" si="67">C37+C38+C39+C41</f>
        <v>0</v>
      </c>
      <c r="D42" s="41">
        <f t="shared" si="67"/>
        <v>0</v>
      </c>
      <c r="E42" s="41">
        <f t="shared" si="67"/>
        <v>0</v>
      </c>
      <c r="F42" s="41">
        <f t="shared" si="67"/>
        <v>0</v>
      </c>
      <c r="G42" s="41">
        <f t="shared" si="67"/>
        <v>0</v>
      </c>
      <c r="H42" s="41">
        <f t="shared" si="67"/>
        <v>0</v>
      </c>
      <c r="I42" s="21">
        <f t="shared" si="48"/>
        <v>0</v>
      </c>
      <c r="J42" s="177">
        <f t="shared" si="48"/>
        <v>0</v>
      </c>
      <c r="K42" s="40" t="s">
        <v>19</v>
      </c>
      <c r="L42" s="22" t="s">
        <v>122</v>
      </c>
      <c r="M42" s="41">
        <f t="shared" ref="M42:R42" si="68">M37+M38+M39+M41</f>
        <v>0</v>
      </c>
      <c r="N42" s="41">
        <f t="shared" si="68"/>
        <v>0</v>
      </c>
      <c r="O42" s="41">
        <f t="shared" si="68"/>
        <v>0</v>
      </c>
      <c r="P42" s="41">
        <f t="shared" si="68"/>
        <v>0</v>
      </c>
      <c r="Q42" s="41">
        <f t="shared" si="68"/>
        <v>0</v>
      </c>
      <c r="R42" s="41">
        <f t="shared" si="68"/>
        <v>0</v>
      </c>
      <c r="S42" s="177">
        <f t="shared" si="37"/>
        <v>0</v>
      </c>
      <c r="T42" s="177">
        <f t="shared" si="37"/>
        <v>0</v>
      </c>
      <c r="U42" s="40" t="s">
        <v>19</v>
      </c>
      <c r="V42" s="22" t="s">
        <v>122</v>
      </c>
      <c r="W42" s="41">
        <f t="shared" ref="W42:AB42" si="69">W37+W38+W39+W41</f>
        <v>0</v>
      </c>
      <c r="X42" s="41">
        <f t="shared" si="69"/>
        <v>0</v>
      </c>
      <c r="Y42" s="41">
        <f t="shared" si="69"/>
        <v>0</v>
      </c>
      <c r="Z42" s="41">
        <f t="shared" si="69"/>
        <v>0</v>
      </c>
      <c r="AA42" s="41">
        <f t="shared" si="69"/>
        <v>0</v>
      </c>
      <c r="AB42" s="41">
        <f t="shared" si="69"/>
        <v>0</v>
      </c>
      <c r="AC42" s="21">
        <f t="shared" si="49"/>
        <v>0</v>
      </c>
      <c r="AD42" s="177">
        <f t="shared" si="49"/>
        <v>0</v>
      </c>
      <c r="AE42" s="40" t="s">
        <v>19</v>
      </c>
      <c r="AF42" s="22" t="s">
        <v>122</v>
      </c>
      <c r="AG42" s="41">
        <f t="shared" ref="AG42:AL42" si="70">AG37+AG38+AG39+AG41</f>
        <v>0</v>
      </c>
      <c r="AH42" s="41">
        <f t="shared" si="70"/>
        <v>0</v>
      </c>
      <c r="AI42" s="41">
        <f t="shared" si="70"/>
        <v>0</v>
      </c>
      <c r="AJ42" s="41">
        <f t="shared" si="70"/>
        <v>0</v>
      </c>
      <c r="AK42" s="41">
        <f t="shared" si="70"/>
        <v>0</v>
      </c>
      <c r="AL42" s="41">
        <f t="shared" si="70"/>
        <v>0</v>
      </c>
      <c r="AM42" s="21">
        <f t="shared" si="50"/>
        <v>0</v>
      </c>
      <c r="AN42" s="177">
        <f t="shared" si="50"/>
        <v>0</v>
      </c>
      <c r="AO42" s="40" t="s">
        <v>19</v>
      </c>
      <c r="AP42" s="22" t="s">
        <v>122</v>
      </c>
      <c r="AQ42" s="41">
        <f t="shared" ref="AQ42:AV42" si="71">AQ37+AQ38+AQ39+AQ41</f>
        <v>0</v>
      </c>
      <c r="AR42" s="41">
        <f t="shared" si="71"/>
        <v>0</v>
      </c>
      <c r="AS42" s="41">
        <f t="shared" si="71"/>
        <v>0</v>
      </c>
      <c r="AT42" s="41">
        <f t="shared" si="71"/>
        <v>0</v>
      </c>
      <c r="AU42" s="41">
        <f t="shared" si="71"/>
        <v>0</v>
      </c>
      <c r="AV42" s="41">
        <f t="shared" si="71"/>
        <v>0</v>
      </c>
      <c r="AW42" s="21">
        <f t="shared" si="51"/>
        <v>0</v>
      </c>
      <c r="AX42" s="177">
        <f t="shared" si="51"/>
        <v>0</v>
      </c>
      <c r="AY42" s="40" t="s">
        <v>19</v>
      </c>
      <c r="AZ42" s="22" t="s">
        <v>122</v>
      </c>
      <c r="BA42" s="41">
        <f t="shared" ref="BA42:BF42" si="72">BA37+BA38+BA39+BA41</f>
        <v>0</v>
      </c>
      <c r="BB42" s="41">
        <f t="shared" si="72"/>
        <v>0</v>
      </c>
      <c r="BC42" s="41">
        <f t="shared" si="72"/>
        <v>0</v>
      </c>
      <c r="BD42" s="41">
        <f t="shared" si="72"/>
        <v>0</v>
      </c>
      <c r="BE42" s="41">
        <f t="shared" si="72"/>
        <v>0</v>
      </c>
      <c r="BF42" s="41">
        <f t="shared" si="72"/>
        <v>0</v>
      </c>
      <c r="BG42" s="21">
        <f t="shared" si="52"/>
        <v>0</v>
      </c>
      <c r="BH42" s="177">
        <f t="shared" si="52"/>
        <v>0</v>
      </c>
      <c r="BI42" s="40" t="s">
        <v>19</v>
      </c>
      <c r="BJ42" s="22" t="s">
        <v>122</v>
      </c>
      <c r="BK42" s="41">
        <f t="shared" ref="BK42:BP42" si="73">BK37+BK38+BK39+BK41</f>
        <v>0</v>
      </c>
      <c r="BL42" s="41">
        <f t="shared" si="73"/>
        <v>0</v>
      </c>
      <c r="BM42" s="41">
        <f t="shared" si="73"/>
        <v>0</v>
      </c>
      <c r="BN42" s="41">
        <f t="shared" si="73"/>
        <v>0</v>
      </c>
      <c r="BO42" s="41">
        <f t="shared" si="73"/>
        <v>0</v>
      </c>
      <c r="BP42" s="41">
        <f t="shared" si="73"/>
        <v>0</v>
      </c>
      <c r="BQ42" s="170">
        <f t="shared" si="53"/>
        <v>0</v>
      </c>
      <c r="BR42" s="170">
        <f t="shared" si="53"/>
        <v>0</v>
      </c>
      <c r="BS42" s="40" t="s">
        <v>19</v>
      </c>
      <c r="BT42" s="195" t="s">
        <v>122</v>
      </c>
      <c r="BU42" s="41">
        <f t="shared" ref="BU42:BZ42" si="74">BU37+BU38+BU39+BU41</f>
        <v>0</v>
      </c>
      <c r="BV42" s="41">
        <f t="shared" si="74"/>
        <v>0</v>
      </c>
      <c r="BW42" s="41">
        <f t="shared" si="74"/>
        <v>0</v>
      </c>
      <c r="BX42" s="41">
        <f t="shared" si="74"/>
        <v>0</v>
      </c>
      <c r="BY42" s="41">
        <f t="shared" si="74"/>
        <v>0</v>
      </c>
      <c r="BZ42" s="41">
        <f t="shared" si="74"/>
        <v>0</v>
      </c>
      <c r="CA42" s="170">
        <f t="shared" si="54"/>
        <v>0</v>
      </c>
      <c r="CB42" s="170">
        <f t="shared" si="54"/>
        <v>0</v>
      </c>
      <c r="CC42" s="40" t="s">
        <v>19</v>
      </c>
      <c r="CD42" s="22" t="s">
        <v>122</v>
      </c>
      <c r="CE42" s="111">
        <f t="shared" si="44"/>
        <v>0</v>
      </c>
      <c r="CF42" s="111">
        <f t="shared" si="44"/>
        <v>0</v>
      </c>
      <c r="CG42" s="111">
        <f t="shared" si="45"/>
        <v>0</v>
      </c>
      <c r="CH42" s="111">
        <f t="shared" si="45"/>
        <v>0</v>
      </c>
      <c r="CI42" s="111">
        <f t="shared" si="46"/>
        <v>0</v>
      </c>
      <c r="CJ42" s="111">
        <f t="shared" si="46"/>
        <v>0</v>
      </c>
      <c r="CK42" s="111">
        <f t="shared" si="47"/>
        <v>0</v>
      </c>
      <c r="CL42" s="111">
        <f t="shared" si="47"/>
        <v>0</v>
      </c>
    </row>
    <row r="43" spans="1:90" x14ac:dyDescent="0.3">
      <c r="A43" s="40" t="s">
        <v>20</v>
      </c>
      <c r="B43" s="22" t="s">
        <v>123</v>
      </c>
      <c r="C43" s="41">
        <f t="shared" ref="C43:H43" si="75">C36+C42</f>
        <v>392970000</v>
      </c>
      <c r="D43" s="41">
        <f t="shared" si="75"/>
        <v>417573778</v>
      </c>
      <c r="E43" s="41">
        <f t="shared" si="75"/>
        <v>0</v>
      </c>
      <c r="F43" s="41">
        <f t="shared" si="75"/>
        <v>0</v>
      </c>
      <c r="G43" s="41">
        <f t="shared" si="75"/>
        <v>0</v>
      </c>
      <c r="H43" s="41">
        <f t="shared" si="75"/>
        <v>0</v>
      </c>
      <c r="I43" s="21">
        <f t="shared" si="48"/>
        <v>392970000</v>
      </c>
      <c r="J43" s="177">
        <f t="shared" si="48"/>
        <v>417573778</v>
      </c>
      <c r="K43" s="40" t="s">
        <v>20</v>
      </c>
      <c r="L43" s="22" t="s">
        <v>123</v>
      </c>
      <c r="M43" s="41">
        <f t="shared" ref="M43:R43" si="76">M36+M42</f>
        <v>65037000</v>
      </c>
      <c r="N43" s="41">
        <f t="shared" si="76"/>
        <v>67172869</v>
      </c>
      <c r="O43" s="41">
        <f t="shared" si="76"/>
        <v>0</v>
      </c>
      <c r="P43" s="41">
        <f t="shared" si="76"/>
        <v>0</v>
      </c>
      <c r="Q43" s="41">
        <f t="shared" si="76"/>
        <v>0</v>
      </c>
      <c r="R43" s="41">
        <f t="shared" si="76"/>
        <v>0</v>
      </c>
      <c r="S43" s="177">
        <f t="shared" si="37"/>
        <v>65037000</v>
      </c>
      <c r="T43" s="177">
        <f t="shared" si="37"/>
        <v>67172869</v>
      </c>
      <c r="U43" s="40" t="s">
        <v>20</v>
      </c>
      <c r="V43" s="22" t="s">
        <v>123</v>
      </c>
      <c r="W43" s="41">
        <f t="shared" ref="W43:AB43" si="77">W36+W42</f>
        <v>108511000</v>
      </c>
      <c r="X43" s="41">
        <f t="shared" si="77"/>
        <v>110142677</v>
      </c>
      <c r="Y43" s="41">
        <f t="shared" si="77"/>
        <v>0</v>
      </c>
      <c r="Z43" s="41">
        <f t="shared" si="77"/>
        <v>0</v>
      </c>
      <c r="AA43" s="41">
        <f t="shared" si="77"/>
        <v>0</v>
      </c>
      <c r="AB43" s="41">
        <f t="shared" si="77"/>
        <v>0</v>
      </c>
      <c r="AC43" s="21">
        <f t="shared" si="49"/>
        <v>108511000</v>
      </c>
      <c r="AD43" s="177">
        <f t="shared" si="49"/>
        <v>110142677</v>
      </c>
      <c r="AE43" s="40" t="s">
        <v>20</v>
      </c>
      <c r="AF43" s="22" t="s">
        <v>123</v>
      </c>
      <c r="AG43" s="41">
        <f t="shared" ref="AG43:AL43" si="78">AG36+AG42</f>
        <v>256747000</v>
      </c>
      <c r="AH43" s="41">
        <f t="shared" si="78"/>
        <v>260245561</v>
      </c>
      <c r="AI43" s="41">
        <f t="shared" si="78"/>
        <v>0</v>
      </c>
      <c r="AJ43" s="41">
        <f t="shared" si="78"/>
        <v>0</v>
      </c>
      <c r="AK43" s="41">
        <f t="shared" si="78"/>
        <v>0</v>
      </c>
      <c r="AL43" s="41">
        <f t="shared" si="78"/>
        <v>0</v>
      </c>
      <c r="AM43" s="21">
        <f t="shared" si="50"/>
        <v>256747000</v>
      </c>
      <c r="AN43" s="177">
        <f t="shared" si="50"/>
        <v>260245561</v>
      </c>
      <c r="AO43" s="40" t="s">
        <v>20</v>
      </c>
      <c r="AP43" s="22" t="s">
        <v>123</v>
      </c>
      <c r="AQ43" s="41">
        <f t="shared" ref="AQ43:AV43" si="79">AQ36+AQ42</f>
        <v>180033000</v>
      </c>
      <c r="AR43" s="41">
        <f t="shared" si="79"/>
        <v>182095637</v>
      </c>
      <c r="AS43" s="41">
        <f t="shared" si="79"/>
        <v>0</v>
      </c>
      <c r="AT43" s="41">
        <f t="shared" si="79"/>
        <v>0</v>
      </c>
      <c r="AU43" s="41">
        <f t="shared" si="79"/>
        <v>0</v>
      </c>
      <c r="AV43" s="41">
        <f t="shared" si="79"/>
        <v>0</v>
      </c>
      <c r="AW43" s="21">
        <f t="shared" si="51"/>
        <v>180033000</v>
      </c>
      <c r="AX43" s="177">
        <f t="shared" si="51"/>
        <v>182095637</v>
      </c>
      <c r="AY43" s="40" t="s">
        <v>20</v>
      </c>
      <c r="AZ43" s="22" t="s">
        <v>123</v>
      </c>
      <c r="BA43" s="41">
        <f t="shared" ref="BA43:BF43" si="80">BA36+BA42</f>
        <v>49129000</v>
      </c>
      <c r="BB43" s="41">
        <f t="shared" si="80"/>
        <v>50296236</v>
      </c>
      <c r="BC43" s="41">
        <f t="shared" si="80"/>
        <v>0</v>
      </c>
      <c r="BD43" s="41">
        <f t="shared" si="80"/>
        <v>0</v>
      </c>
      <c r="BE43" s="41">
        <f t="shared" si="80"/>
        <v>0</v>
      </c>
      <c r="BF43" s="41">
        <f t="shared" si="80"/>
        <v>0</v>
      </c>
      <c r="BG43" s="21">
        <f t="shared" si="52"/>
        <v>49129000</v>
      </c>
      <c r="BH43" s="177">
        <f t="shared" si="52"/>
        <v>50296236</v>
      </c>
      <c r="BI43" s="40" t="s">
        <v>20</v>
      </c>
      <c r="BJ43" s="22" t="s">
        <v>123</v>
      </c>
      <c r="BK43" s="41">
        <f t="shared" ref="BK43:BP43" si="81">BK36+BK42</f>
        <v>24753000</v>
      </c>
      <c r="BL43" s="41">
        <f t="shared" si="81"/>
        <v>25644378</v>
      </c>
      <c r="BM43" s="41">
        <f t="shared" si="81"/>
        <v>0</v>
      </c>
      <c r="BN43" s="41">
        <f t="shared" si="81"/>
        <v>0</v>
      </c>
      <c r="BO43" s="41">
        <f t="shared" si="81"/>
        <v>0</v>
      </c>
      <c r="BP43" s="41">
        <f t="shared" si="81"/>
        <v>0</v>
      </c>
      <c r="BQ43" s="170">
        <f t="shared" si="53"/>
        <v>24753000</v>
      </c>
      <c r="BR43" s="170">
        <f t="shared" si="53"/>
        <v>25644378</v>
      </c>
      <c r="BS43" s="40" t="s">
        <v>20</v>
      </c>
      <c r="BT43" s="195" t="s">
        <v>123</v>
      </c>
      <c r="BU43" s="41">
        <f t="shared" ref="BU43:BZ43" si="82">BU36+BU42</f>
        <v>62270000</v>
      </c>
      <c r="BV43" s="41">
        <f t="shared" si="82"/>
        <v>42986919</v>
      </c>
      <c r="BW43" s="41">
        <f t="shared" si="82"/>
        <v>0</v>
      </c>
      <c r="BX43" s="41">
        <f t="shared" si="82"/>
        <v>0</v>
      </c>
      <c r="BY43" s="41">
        <f t="shared" si="82"/>
        <v>0</v>
      </c>
      <c r="BZ43" s="41">
        <f t="shared" si="82"/>
        <v>0</v>
      </c>
      <c r="CA43" s="170">
        <f t="shared" si="54"/>
        <v>62270000</v>
      </c>
      <c r="CB43" s="170">
        <f t="shared" si="54"/>
        <v>42986919</v>
      </c>
      <c r="CC43" s="40" t="s">
        <v>20</v>
      </c>
      <c r="CD43" s="22" t="s">
        <v>123</v>
      </c>
      <c r="CE43" s="111">
        <f t="shared" si="44"/>
        <v>1139450000</v>
      </c>
      <c r="CF43" s="111">
        <f t="shared" si="44"/>
        <v>1156158055</v>
      </c>
      <c r="CG43" s="111">
        <f t="shared" si="45"/>
        <v>0</v>
      </c>
      <c r="CH43" s="111">
        <f t="shared" si="45"/>
        <v>0</v>
      </c>
      <c r="CI43" s="111">
        <f t="shared" si="46"/>
        <v>0</v>
      </c>
      <c r="CJ43" s="111">
        <f t="shared" si="46"/>
        <v>0</v>
      </c>
      <c r="CK43" s="111">
        <f>+BQ43+BG43+AW43+AM43+AC43+S43+I43+CA43</f>
        <v>1139450000</v>
      </c>
      <c r="CL43" s="111">
        <f>+BR43+BH43+AX43+AN43+AD43+T43+J43+CB43</f>
        <v>1156158055</v>
      </c>
    </row>
    <row r="44" spans="1:90" s="399" customFormat="1" x14ac:dyDescent="0.3">
      <c r="A44" s="434"/>
      <c r="B44" s="435"/>
      <c r="C44" s="436"/>
      <c r="D44" s="436"/>
      <c r="E44" s="436"/>
      <c r="F44" s="436"/>
      <c r="G44" s="436"/>
      <c r="H44" s="436"/>
      <c r="I44" s="437">
        <f>+I22-I43</f>
        <v>0</v>
      </c>
      <c r="J44" s="437">
        <f>+J22-J43</f>
        <v>0</v>
      </c>
      <c r="K44" s="434"/>
      <c r="L44" s="435"/>
      <c r="M44" s="436"/>
      <c r="N44" s="436"/>
      <c r="O44" s="436"/>
      <c r="P44" s="436"/>
      <c r="Q44" s="436"/>
      <c r="S44" s="437">
        <f>+S22-S43</f>
        <v>0</v>
      </c>
      <c r="T44" s="437">
        <f>+T22-T43</f>
        <v>0</v>
      </c>
      <c r="U44" s="437"/>
      <c r="V44" s="435"/>
      <c r="W44" s="436"/>
      <c r="X44" s="436"/>
      <c r="Y44" s="436"/>
      <c r="Z44" s="436"/>
      <c r="AA44" s="436"/>
      <c r="AB44" s="436"/>
      <c r="AC44" s="437">
        <f>+AC22-AC43</f>
        <v>0</v>
      </c>
      <c r="AD44" s="437">
        <f>+AD22-AD43</f>
        <v>0</v>
      </c>
      <c r="AE44" s="437"/>
      <c r="AF44" s="435"/>
      <c r="AG44" s="436"/>
      <c r="AH44" s="436"/>
      <c r="AI44" s="436"/>
      <c r="AJ44" s="436"/>
      <c r="AK44" s="436"/>
      <c r="AL44" s="436"/>
      <c r="AM44" s="437">
        <f>+AM22-AM43</f>
        <v>0</v>
      </c>
      <c r="AN44" s="437">
        <f>+AN22-AN43</f>
        <v>0</v>
      </c>
      <c r="AO44" s="434"/>
      <c r="AP44" s="435"/>
      <c r="AQ44" s="436"/>
      <c r="AR44" s="436"/>
      <c r="AS44" s="436"/>
      <c r="AT44" s="436"/>
      <c r="AU44" s="436"/>
      <c r="AV44" s="436"/>
      <c r="AW44" s="437">
        <f>+AW22-AW43</f>
        <v>0</v>
      </c>
      <c r="AX44" s="437">
        <f>+AX22-AX43</f>
        <v>0</v>
      </c>
      <c r="AY44" s="434"/>
      <c r="AZ44" s="435"/>
      <c r="BA44" s="436"/>
      <c r="BB44" s="436"/>
      <c r="BC44" s="436"/>
      <c r="BD44" s="436"/>
      <c r="BE44" s="436"/>
      <c r="BF44" s="436"/>
      <c r="BG44" s="437">
        <f>+BG22-BG43</f>
        <v>0</v>
      </c>
      <c r="BH44" s="437">
        <f>+BH22-BH43</f>
        <v>0</v>
      </c>
      <c r="BI44" s="434"/>
      <c r="BJ44" s="435"/>
      <c r="BK44" s="436"/>
      <c r="BL44" s="436"/>
      <c r="BM44" s="436"/>
      <c r="BN44" s="436"/>
      <c r="BO44" s="436"/>
      <c r="BP44" s="436"/>
      <c r="BQ44" s="437">
        <f>+BQ22-BQ43</f>
        <v>0</v>
      </c>
      <c r="BR44" s="437">
        <f>+BR22-BR43</f>
        <v>0</v>
      </c>
      <c r="BS44" s="434"/>
      <c r="BT44" s="435"/>
      <c r="BU44" s="436"/>
      <c r="BV44" s="436"/>
      <c r="BW44" s="436"/>
      <c r="BX44" s="436"/>
      <c r="BY44" s="436"/>
      <c r="BZ44" s="436"/>
      <c r="CA44" s="437">
        <f>+CA22-CA43</f>
        <v>0</v>
      </c>
      <c r="CB44" s="437">
        <f>+CB22-CB43</f>
        <v>0</v>
      </c>
      <c r="CC44" s="399">
        <f>SUM(I44:CB44)</f>
        <v>0</v>
      </c>
    </row>
    <row r="45" spans="1:90" s="66" customFormat="1" x14ac:dyDescent="0.3">
      <c r="A45" s="40"/>
      <c r="B45" s="38"/>
      <c r="C45" s="41"/>
      <c r="D45" s="41"/>
      <c r="E45" s="41"/>
      <c r="F45" s="41"/>
      <c r="G45" s="41"/>
      <c r="H45" s="41"/>
      <c r="I45" s="124"/>
      <c r="J45" s="124"/>
      <c r="K45" s="40"/>
      <c r="L45" s="38"/>
      <c r="M45" s="41"/>
      <c r="N45" s="41"/>
      <c r="O45" s="41"/>
      <c r="P45" s="41"/>
      <c r="Q45" s="41"/>
      <c r="R45" s="124"/>
      <c r="S45" s="124"/>
      <c r="T45" s="40"/>
      <c r="U45" s="40"/>
      <c r="V45" s="38"/>
      <c r="W45" s="41"/>
      <c r="X45" s="41"/>
      <c r="Y45" s="41"/>
      <c r="Z45" s="41"/>
      <c r="AA45" s="41"/>
      <c r="AB45" s="41"/>
      <c r="AC45" s="124"/>
      <c r="AD45" s="124"/>
      <c r="AE45" s="40"/>
      <c r="AF45" s="38"/>
      <c r="AG45" s="41"/>
      <c r="AH45" s="41"/>
      <c r="AI45" s="41"/>
      <c r="AJ45" s="41"/>
      <c r="AK45" s="41"/>
      <c r="AL45" s="41"/>
      <c r="AM45" s="124"/>
      <c r="AN45" s="124"/>
      <c r="AO45" s="40"/>
      <c r="AP45" s="38"/>
      <c r="AQ45" s="41"/>
      <c r="AR45" s="41"/>
      <c r="AS45" s="41"/>
      <c r="AT45" s="41"/>
      <c r="AU45" s="41"/>
      <c r="AV45" s="41"/>
      <c r="AW45" s="124"/>
      <c r="AX45" s="124"/>
      <c r="AY45" s="40"/>
      <c r="AZ45" s="38"/>
      <c r="BA45" s="41"/>
      <c r="BB45" s="41"/>
      <c r="BC45" s="41"/>
      <c r="BD45" s="41"/>
      <c r="BE45" s="41"/>
      <c r="BF45" s="41"/>
      <c r="BG45" s="124"/>
      <c r="BH45" s="124"/>
      <c r="BI45" s="40"/>
      <c r="BJ45" s="38"/>
      <c r="BK45" s="41"/>
      <c r="BL45" s="41"/>
      <c r="BM45" s="41"/>
      <c r="BN45" s="41"/>
      <c r="BO45" s="41"/>
      <c r="BP45" s="41"/>
      <c r="BQ45" s="124"/>
      <c r="BR45" s="124"/>
      <c r="BS45" s="40"/>
      <c r="BT45" s="38"/>
      <c r="BU45" s="41"/>
      <c r="BV45" s="41"/>
      <c r="BW45" s="41"/>
      <c r="BX45" s="41"/>
      <c r="BY45" s="41"/>
      <c r="BZ45" s="41"/>
      <c r="CA45" s="124"/>
      <c r="CB45" s="127"/>
    </row>
    <row r="46" spans="1:90" s="66" customFormat="1" x14ac:dyDescent="0.3">
      <c r="A46" s="126"/>
      <c r="B46" s="35"/>
      <c r="C46" s="47"/>
      <c r="D46" s="47"/>
      <c r="E46" s="47"/>
      <c r="F46" s="47"/>
      <c r="G46" s="47"/>
      <c r="H46" s="47"/>
      <c r="I46" s="127"/>
      <c r="J46" s="127"/>
      <c r="K46" s="126"/>
      <c r="L46" s="35"/>
      <c r="M46" s="47"/>
      <c r="N46" s="47"/>
      <c r="O46" s="47"/>
      <c r="P46" s="47"/>
      <c r="Q46" s="47"/>
      <c r="R46" s="127"/>
      <c r="S46" s="127"/>
      <c r="T46" s="126"/>
      <c r="U46" s="126"/>
      <c r="V46" s="35"/>
      <c r="W46" s="47"/>
      <c r="X46" s="47"/>
      <c r="Y46" s="47"/>
      <c r="Z46" s="47"/>
      <c r="AA46" s="47"/>
      <c r="AB46" s="47"/>
      <c r="AC46" s="127"/>
      <c r="AD46" s="127"/>
      <c r="AE46" s="126"/>
      <c r="AF46" s="35"/>
      <c r="AG46" s="47"/>
      <c r="AH46" s="47"/>
      <c r="AI46" s="47"/>
      <c r="AJ46" s="47"/>
      <c r="AK46" s="47"/>
      <c r="AL46" s="47"/>
      <c r="AM46" s="127"/>
      <c r="AN46" s="127"/>
      <c r="AO46" s="126"/>
      <c r="AP46" s="35"/>
      <c r="AQ46" s="47"/>
      <c r="AR46" s="47"/>
      <c r="AS46" s="47"/>
      <c r="AT46" s="47"/>
      <c r="AU46" s="47"/>
      <c r="AV46" s="47"/>
      <c r="AW46" s="127"/>
      <c r="AX46" s="127"/>
      <c r="AY46" s="126"/>
      <c r="AZ46" s="35"/>
      <c r="BA46" s="47"/>
      <c r="BB46" s="47"/>
      <c r="BC46" s="47"/>
      <c r="BD46" s="47"/>
      <c r="BE46" s="47"/>
      <c r="BF46" s="47"/>
      <c r="BG46" s="127"/>
      <c r="BH46" s="127"/>
      <c r="BI46" s="126"/>
      <c r="BJ46" s="35"/>
      <c r="BK46" s="47"/>
      <c r="BL46" s="47"/>
      <c r="BM46" s="47"/>
      <c r="BN46" s="47"/>
      <c r="BO46" s="47"/>
      <c r="BP46" s="47"/>
      <c r="BQ46" s="127"/>
      <c r="BR46" s="127"/>
      <c r="BS46" s="126"/>
      <c r="BT46" s="35"/>
      <c r="BU46" s="47"/>
      <c r="BV46" s="47"/>
      <c r="BW46" s="47"/>
      <c r="BX46" s="47"/>
      <c r="BY46" s="47"/>
      <c r="BZ46" s="47"/>
      <c r="CA46" s="127"/>
      <c r="CB46" s="127"/>
    </row>
    <row r="47" spans="1:90" s="66" customFormat="1" x14ac:dyDescent="0.3">
      <c r="A47" s="128"/>
      <c r="B47" s="129"/>
      <c r="C47" s="130"/>
      <c r="D47" s="130"/>
      <c r="E47" s="130"/>
      <c r="F47" s="130"/>
      <c r="G47" s="67"/>
      <c r="H47" s="67"/>
      <c r="I47" s="130"/>
      <c r="J47" s="130"/>
    </row>
    <row r="48" spans="1:90" x14ac:dyDescent="0.3">
      <c r="A48" s="128"/>
      <c r="B48" s="131"/>
      <c r="C48" s="132"/>
      <c r="D48" s="132"/>
      <c r="E48" s="132"/>
      <c r="F48" s="132"/>
      <c r="G48" s="132"/>
      <c r="H48" s="132"/>
      <c r="I48" s="132"/>
      <c r="J48" s="132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spans="1:10" x14ac:dyDescent="0.3">
      <c r="A49" s="113"/>
      <c r="B49" s="112"/>
      <c r="C49" s="67"/>
      <c r="D49" s="67"/>
    </row>
    <row r="50" spans="1:10" x14ac:dyDescent="0.3">
      <c r="A50" s="113"/>
      <c r="B50" s="24"/>
      <c r="C50" s="25"/>
      <c r="D50" s="25"/>
    </row>
    <row r="51" spans="1:10" x14ac:dyDescent="0.3">
      <c r="A51" s="34"/>
      <c r="B51" s="58"/>
      <c r="C51" s="59"/>
      <c r="D51" s="59"/>
      <c r="E51" s="59"/>
      <c r="F51" s="59"/>
      <c r="G51" s="59"/>
      <c r="H51" s="59"/>
      <c r="I51" s="59"/>
      <c r="J51" s="59"/>
    </row>
    <row r="52" spans="1:10" x14ac:dyDescent="0.3">
      <c r="A52" s="34"/>
      <c r="B52" s="58"/>
      <c r="C52" s="59"/>
      <c r="D52" s="59"/>
      <c r="E52" s="59"/>
      <c r="F52" s="59"/>
      <c r="G52" s="59"/>
      <c r="H52" s="59"/>
      <c r="I52" s="59"/>
      <c r="J52" s="59"/>
    </row>
    <row r="53" spans="1:10" x14ac:dyDescent="0.3">
      <c r="A53" s="34"/>
      <c r="B53" s="60"/>
      <c r="C53" s="59"/>
      <c r="D53" s="59"/>
      <c r="E53" s="59"/>
      <c r="F53" s="59"/>
      <c r="G53" s="59"/>
      <c r="H53" s="59"/>
      <c r="I53" s="59"/>
      <c r="J53" s="59"/>
    </row>
    <row r="54" spans="1:10" x14ac:dyDescent="0.3">
      <c r="A54" s="8"/>
      <c r="B54" s="61"/>
      <c r="C54" s="62"/>
      <c r="D54" s="62"/>
      <c r="E54" s="10"/>
      <c r="F54" s="66"/>
      <c r="G54" s="10"/>
      <c r="H54" s="66"/>
      <c r="I54" s="52"/>
      <c r="J54" s="408"/>
    </row>
    <row r="55" spans="1:10" x14ac:dyDescent="0.3">
      <c r="A55" s="34"/>
      <c r="B55" s="58"/>
      <c r="C55" s="63"/>
      <c r="D55" s="63"/>
      <c r="E55" s="63"/>
      <c r="F55" s="63"/>
      <c r="G55" s="63"/>
      <c r="H55" s="63"/>
      <c r="I55" s="63"/>
      <c r="J55" s="63"/>
    </row>
    <row r="56" spans="1:10" x14ac:dyDescent="0.3">
      <c r="A56" s="34"/>
      <c r="B56" s="58"/>
      <c r="C56" s="63"/>
      <c r="D56" s="63"/>
      <c r="E56" s="63"/>
      <c r="F56" s="63"/>
      <c r="G56" s="63"/>
      <c r="H56" s="63"/>
      <c r="I56" s="63"/>
      <c r="J56" s="63"/>
    </row>
    <row r="57" spans="1:10" x14ac:dyDescent="0.3">
      <c r="A57" s="34"/>
      <c r="B57" s="58"/>
      <c r="C57" s="63"/>
      <c r="D57" s="63"/>
      <c r="E57" s="63"/>
      <c r="F57" s="63"/>
      <c r="G57" s="63"/>
      <c r="H57" s="63"/>
      <c r="I57" s="63"/>
      <c r="J57" s="63"/>
    </row>
    <row r="58" spans="1:10" x14ac:dyDescent="0.3">
      <c r="A58" s="34"/>
      <c r="B58" s="58"/>
      <c r="C58" s="63"/>
      <c r="D58" s="63"/>
      <c r="E58" s="63"/>
      <c r="F58" s="63"/>
      <c r="G58" s="63"/>
      <c r="H58" s="63"/>
      <c r="I58" s="63"/>
      <c r="J58" s="63"/>
    </row>
    <row r="59" spans="1:10" x14ac:dyDescent="0.3">
      <c r="A59" s="34"/>
      <c r="B59" s="58"/>
      <c r="C59" s="63"/>
      <c r="D59" s="63"/>
      <c r="E59" s="63"/>
      <c r="F59" s="63"/>
      <c r="G59" s="63"/>
      <c r="H59" s="63"/>
      <c r="I59" s="63"/>
      <c r="J59" s="63"/>
    </row>
    <row r="60" spans="1:10" x14ac:dyDescent="0.3">
      <c r="A60" s="34"/>
      <c r="B60" s="56"/>
      <c r="C60" s="63"/>
      <c r="D60" s="63"/>
      <c r="E60" s="63"/>
      <c r="F60" s="63"/>
      <c r="G60" s="63"/>
      <c r="H60" s="63"/>
      <c r="I60" s="63"/>
      <c r="J60" s="63"/>
    </row>
    <row r="61" spans="1:10" x14ac:dyDescent="0.3">
      <c r="A61" s="34"/>
      <c r="B61" s="58"/>
      <c r="C61" s="63"/>
      <c r="D61" s="63"/>
      <c r="E61" s="63"/>
      <c r="F61" s="63"/>
      <c r="G61" s="63"/>
      <c r="H61" s="63"/>
      <c r="I61" s="63"/>
      <c r="J61" s="63"/>
    </row>
    <row r="62" spans="1:10" x14ac:dyDescent="0.3">
      <c r="A62" s="34"/>
      <c r="B62" s="58"/>
      <c r="C62" s="63"/>
      <c r="D62" s="63"/>
      <c r="E62" s="63"/>
      <c r="F62" s="63"/>
      <c r="G62" s="63"/>
      <c r="H62" s="63"/>
      <c r="I62" s="63"/>
      <c r="J62" s="63"/>
    </row>
    <row r="63" spans="1:10" x14ac:dyDescent="0.3">
      <c r="A63" s="34"/>
      <c r="B63" s="58"/>
      <c r="C63" s="63"/>
      <c r="D63" s="63"/>
      <c r="E63" s="63"/>
      <c r="F63" s="63"/>
      <c r="G63" s="63"/>
      <c r="H63" s="63"/>
      <c r="I63" s="63"/>
      <c r="J63" s="63"/>
    </row>
    <row r="64" spans="1:10" x14ac:dyDescent="0.3">
      <c r="A64" s="34"/>
      <c r="B64" s="56"/>
      <c r="C64" s="63"/>
      <c r="D64" s="63"/>
      <c r="E64" s="63"/>
      <c r="F64" s="63"/>
      <c r="G64" s="63"/>
      <c r="H64" s="63"/>
      <c r="I64" s="63"/>
      <c r="J64" s="63"/>
    </row>
    <row r="65" spans="1:10" x14ac:dyDescent="0.3">
      <c r="A65" s="34"/>
      <c r="B65" s="35"/>
      <c r="C65" s="63"/>
      <c r="D65" s="63"/>
      <c r="E65" s="63"/>
      <c r="F65" s="63"/>
      <c r="G65" s="63"/>
      <c r="H65" s="63"/>
      <c r="I65" s="63"/>
      <c r="J65" s="63"/>
    </row>
    <row r="66" spans="1:10" x14ac:dyDescent="0.3">
      <c r="A66" s="34"/>
      <c r="B66" s="35"/>
      <c r="C66" s="26"/>
      <c r="D66" s="67"/>
      <c r="E66" s="26"/>
      <c r="F66" s="67"/>
      <c r="G66" s="26"/>
      <c r="H66" s="67"/>
      <c r="I66" s="26"/>
      <c r="J66" s="67"/>
    </row>
    <row r="67" spans="1:10" x14ac:dyDescent="0.3">
      <c r="A67" s="34"/>
      <c r="B67" s="35"/>
      <c r="C67" s="26"/>
      <c r="D67" s="67"/>
      <c r="E67" s="26"/>
      <c r="F67" s="67"/>
      <c r="G67" s="26"/>
      <c r="H67" s="67"/>
      <c r="I67" s="26"/>
      <c r="J67" s="67"/>
    </row>
    <row r="68" spans="1:10" x14ac:dyDescent="0.3">
      <c r="A68" s="10"/>
      <c r="B68" s="10"/>
      <c r="C68" s="10"/>
      <c r="D68" s="66"/>
      <c r="E68" s="10"/>
      <c r="F68" s="66"/>
      <c r="G68" s="10"/>
      <c r="H68" s="66"/>
      <c r="I68" s="10"/>
      <c r="J68" s="66"/>
    </row>
    <row r="69" spans="1:10" x14ac:dyDescent="0.3">
      <c r="A69" s="655"/>
      <c r="B69" s="656"/>
      <c r="C69" s="656"/>
      <c r="D69" s="405"/>
      <c r="E69" s="50"/>
      <c r="F69" s="50"/>
      <c r="G69" s="657"/>
      <c r="H69" s="657"/>
      <c r="I69" s="658"/>
      <c r="J69" s="406"/>
    </row>
    <row r="70" spans="1:10" x14ac:dyDescent="0.3">
      <c r="A70" s="655"/>
      <c r="B70" s="656"/>
      <c r="C70" s="656"/>
      <c r="D70" s="405"/>
      <c r="E70" s="50"/>
      <c r="F70" s="50"/>
      <c r="G70" s="50"/>
      <c r="H70" s="50"/>
      <c r="I70" s="50"/>
      <c r="J70" s="50"/>
    </row>
    <row r="71" spans="1:10" x14ac:dyDescent="0.3">
      <c r="A71" s="34"/>
      <c r="B71" s="51"/>
      <c r="C71" s="52"/>
      <c r="D71" s="408"/>
      <c r="E71" s="50"/>
      <c r="F71" s="50"/>
      <c r="G71" s="50"/>
      <c r="H71" s="50"/>
      <c r="I71" s="52"/>
      <c r="J71" s="408"/>
    </row>
    <row r="72" spans="1:10" x14ac:dyDescent="0.3">
      <c r="A72" s="53"/>
      <c r="B72" s="54"/>
      <c r="C72" s="55"/>
      <c r="D72" s="55"/>
      <c r="E72" s="50"/>
      <c r="F72" s="50"/>
      <c r="G72" s="50"/>
      <c r="H72" s="50"/>
      <c r="I72" s="34"/>
      <c r="J72" s="407"/>
    </row>
    <row r="73" spans="1:10" x14ac:dyDescent="0.3">
      <c r="A73" s="34"/>
      <c r="B73" s="56"/>
      <c r="C73" s="57"/>
      <c r="D73" s="57"/>
      <c r="E73" s="57"/>
      <c r="F73" s="57"/>
      <c r="G73" s="57"/>
      <c r="H73" s="57"/>
      <c r="I73" s="57"/>
      <c r="J73" s="57"/>
    </row>
    <row r="74" spans="1:10" x14ac:dyDescent="0.3">
      <c r="A74" s="34"/>
      <c r="B74" s="58"/>
      <c r="C74" s="59"/>
      <c r="D74" s="59"/>
      <c r="E74" s="59"/>
      <c r="F74" s="59"/>
      <c r="G74" s="59"/>
      <c r="H74" s="59"/>
      <c r="I74" s="59"/>
      <c r="J74" s="59"/>
    </row>
    <row r="75" spans="1:10" x14ac:dyDescent="0.3">
      <c r="A75" s="34"/>
      <c r="B75" s="58"/>
      <c r="C75" s="59"/>
      <c r="D75" s="59"/>
      <c r="E75" s="59"/>
      <c r="F75" s="59"/>
      <c r="G75" s="59"/>
      <c r="H75" s="59"/>
      <c r="I75" s="59"/>
      <c r="J75" s="59"/>
    </row>
    <row r="76" spans="1:10" x14ac:dyDescent="0.3">
      <c r="A76" s="34"/>
      <c r="B76" s="58"/>
      <c r="C76" s="59"/>
      <c r="D76" s="59"/>
      <c r="E76" s="59"/>
      <c r="F76" s="59"/>
      <c r="G76" s="59"/>
      <c r="H76" s="59"/>
      <c r="I76" s="59"/>
      <c r="J76" s="59"/>
    </row>
    <row r="77" spans="1:10" x14ac:dyDescent="0.3">
      <c r="A77" s="34"/>
      <c r="B77" s="58"/>
      <c r="C77" s="59"/>
      <c r="D77" s="59"/>
      <c r="E77" s="59"/>
      <c r="F77" s="59"/>
      <c r="G77" s="59"/>
      <c r="H77" s="59"/>
      <c r="I77" s="59"/>
      <c r="J77" s="59"/>
    </row>
    <row r="78" spans="1:10" x14ac:dyDescent="0.3">
      <c r="A78" s="34"/>
      <c r="B78" s="58"/>
      <c r="C78" s="59"/>
      <c r="D78" s="59"/>
      <c r="E78" s="59"/>
      <c r="F78" s="59"/>
      <c r="G78" s="59"/>
      <c r="H78" s="59"/>
      <c r="I78" s="59"/>
      <c r="J78" s="59"/>
    </row>
    <row r="79" spans="1:10" x14ac:dyDescent="0.3">
      <c r="A79" s="34"/>
      <c r="B79" s="58"/>
      <c r="C79" s="59"/>
      <c r="D79" s="59"/>
      <c r="E79" s="59"/>
      <c r="F79" s="59"/>
      <c r="G79" s="59"/>
      <c r="H79" s="59"/>
      <c r="I79" s="59"/>
      <c r="J79" s="59"/>
    </row>
    <row r="80" spans="1:10" x14ac:dyDescent="0.3">
      <c r="A80" s="34"/>
      <c r="B80" s="58"/>
      <c r="C80" s="59"/>
      <c r="D80" s="59"/>
      <c r="E80" s="59"/>
      <c r="F80" s="59"/>
      <c r="G80" s="59"/>
      <c r="H80" s="59"/>
      <c r="I80" s="59"/>
      <c r="J80" s="59"/>
    </row>
    <row r="81" spans="1:10" x14ac:dyDescent="0.3">
      <c r="A81" s="34"/>
      <c r="B81" s="60"/>
      <c r="C81" s="59"/>
      <c r="D81" s="59"/>
      <c r="E81" s="59"/>
      <c r="F81" s="59"/>
      <c r="G81" s="59"/>
      <c r="H81" s="59"/>
      <c r="I81" s="59"/>
      <c r="J81" s="59"/>
    </row>
    <row r="82" spans="1:10" x14ac:dyDescent="0.3">
      <c r="A82" s="8"/>
      <c r="B82" s="61"/>
      <c r="C82" s="62"/>
      <c r="D82" s="62"/>
      <c r="E82" s="10"/>
      <c r="F82" s="66"/>
      <c r="G82" s="10"/>
      <c r="H82" s="66"/>
      <c r="I82" s="52"/>
      <c r="J82" s="408"/>
    </row>
    <row r="83" spans="1:10" x14ac:dyDescent="0.3">
      <c r="A83" s="34"/>
      <c r="B83" s="58"/>
      <c r="C83" s="63"/>
      <c r="D83" s="63"/>
      <c r="E83" s="63"/>
      <c r="F83" s="63"/>
      <c r="G83" s="63"/>
      <c r="H83" s="63"/>
      <c r="I83" s="63"/>
      <c r="J83" s="63"/>
    </row>
    <row r="84" spans="1:10" x14ac:dyDescent="0.3">
      <c r="A84" s="34"/>
      <c r="B84" s="58"/>
      <c r="C84" s="63"/>
      <c r="D84" s="63"/>
      <c r="E84" s="63"/>
      <c r="F84" s="63"/>
      <c r="G84" s="63"/>
      <c r="H84" s="63"/>
      <c r="I84" s="63"/>
      <c r="J84" s="63"/>
    </row>
    <row r="85" spans="1:10" x14ac:dyDescent="0.3">
      <c r="A85" s="34"/>
      <c r="B85" s="58"/>
      <c r="C85" s="63"/>
      <c r="D85" s="63"/>
      <c r="E85" s="63"/>
      <c r="F85" s="63"/>
      <c r="G85" s="63"/>
      <c r="H85" s="63"/>
      <c r="I85" s="63"/>
      <c r="J85" s="63"/>
    </row>
    <row r="86" spans="1:10" x14ac:dyDescent="0.3">
      <c r="A86" s="34"/>
      <c r="B86" s="58"/>
      <c r="C86" s="63"/>
      <c r="D86" s="63"/>
      <c r="E86" s="63"/>
      <c r="F86" s="63"/>
      <c r="G86" s="63"/>
      <c r="H86" s="63"/>
      <c r="I86" s="63"/>
      <c r="J86" s="63"/>
    </row>
    <row r="87" spans="1:10" x14ac:dyDescent="0.3">
      <c r="A87" s="34"/>
      <c r="B87" s="58"/>
      <c r="C87" s="63"/>
      <c r="D87" s="63"/>
      <c r="E87" s="63"/>
      <c r="F87" s="63"/>
      <c r="G87" s="63"/>
      <c r="H87" s="63"/>
      <c r="I87" s="63"/>
      <c r="J87" s="63"/>
    </row>
    <row r="88" spans="1:10" x14ac:dyDescent="0.3">
      <c r="A88" s="34"/>
      <c r="B88" s="56"/>
      <c r="C88" s="63"/>
      <c r="D88" s="63"/>
      <c r="E88" s="63"/>
      <c r="F88" s="63"/>
      <c r="G88" s="63"/>
      <c r="H88" s="63"/>
      <c r="I88" s="63"/>
      <c r="J88" s="63"/>
    </row>
    <row r="89" spans="1:10" x14ac:dyDescent="0.3">
      <c r="A89" s="34"/>
      <c r="B89" s="58"/>
      <c r="C89" s="63"/>
      <c r="D89" s="63"/>
      <c r="E89" s="63"/>
      <c r="F89" s="63"/>
      <c r="G89" s="63"/>
      <c r="H89" s="63"/>
      <c r="I89" s="63"/>
      <c r="J89" s="63"/>
    </row>
    <row r="90" spans="1:10" x14ac:dyDescent="0.3">
      <c r="A90" s="34"/>
      <c r="B90" s="58"/>
      <c r="C90" s="63"/>
      <c r="D90" s="63"/>
      <c r="E90" s="63"/>
      <c r="F90" s="63"/>
      <c r="G90" s="63"/>
      <c r="H90" s="63"/>
      <c r="I90" s="63"/>
      <c r="J90" s="63"/>
    </row>
    <row r="91" spans="1:10" x14ac:dyDescent="0.3">
      <c r="A91" s="34"/>
      <c r="B91" s="58"/>
      <c r="C91" s="63"/>
      <c r="D91" s="63"/>
      <c r="E91" s="63"/>
      <c r="F91" s="63"/>
      <c r="G91" s="63"/>
      <c r="H91" s="63"/>
      <c r="I91" s="63"/>
      <c r="J91" s="63"/>
    </row>
    <row r="92" spans="1:10" x14ac:dyDescent="0.3">
      <c r="A92" s="34"/>
      <c r="B92" s="56"/>
      <c r="C92" s="63"/>
      <c r="D92" s="63"/>
      <c r="E92" s="63"/>
      <c r="F92" s="63"/>
      <c r="G92" s="63"/>
      <c r="H92" s="63"/>
      <c r="I92" s="63"/>
      <c r="J92" s="63"/>
    </row>
    <row r="93" spans="1:10" x14ac:dyDescent="0.3">
      <c r="A93" s="34"/>
      <c r="B93" s="35"/>
      <c r="C93" s="63"/>
      <c r="D93" s="63"/>
      <c r="E93" s="63"/>
      <c r="F93" s="63"/>
      <c r="G93" s="63"/>
      <c r="H93" s="63"/>
      <c r="I93" s="63"/>
      <c r="J93" s="63"/>
    </row>
    <row r="94" spans="1:10" x14ac:dyDescent="0.3">
      <c r="A94" s="655"/>
      <c r="B94" s="656"/>
      <c r="C94" s="656"/>
      <c r="D94" s="405"/>
      <c r="E94" s="50"/>
      <c r="F94" s="50"/>
      <c r="G94" s="657"/>
      <c r="H94" s="657"/>
      <c r="I94" s="658"/>
      <c r="J94" s="406"/>
    </row>
    <row r="95" spans="1:10" x14ac:dyDescent="0.3">
      <c r="A95" s="655"/>
      <c r="B95" s="656"/>
      <c r="C95" s="656"/>
      <c r="D95" s="405"/>
      <c r="E95" s="50"/>
      <c r="F95" s="50"/>
      <c r="G95" s="50"/>
      <c r="H95" s="50"/>
      <c r="I95" s="50"/>
      <c r="J95" s="50"/>
    </row>
    <row r="96" spans="1:10" x14ac:dyDescent="0.3">
      <c r="A96" s="34"/>
      <c r="B96" s="51"/>
      <c r="C96" s="52"/>
      <c r="D96" s="408"/>
      <c r="E96" s="50"/>
      <c r="F96" s="50"/>
      <c r="G96" s="50"/>
      <c r="H96" s="50"/>
      <c r="I96" s="52"/>
      <c r="J96" s="408"/>
    </row>
    <row r="97" spans="1:22" x14ac:dyDescent="0.3">
      <c r="A97" s="53"/>
      <c r="B97" s="54"/>
      <c r="C97" s="55"/>
      <c r="D97" s="55"/>
      <c r="E97" s="50"/>
      <c r="F97" s="50"/>
      <c r="G97" s="50"/>
      <c r="H97" s="50"/>
      <c r="I97" s="34"/>
      <c r="J97" s="407"/>
    </row>
    <row r="98" spans="1:22" x14ac:dyDescent="0.3">
      <c r="A98" s="34"/>
      <c r="B98" s="56"/>
      <c r="C98" s="57"/>
      <c r="D98" s="57"/>
      <c r="E98" s="57"/>
      <c r="F98" s="57"/>
      <c r="G98" s="57"/>
      <c r="H98" s="57"/>
      <c r="I98" s="57"/>
      <c r="J98" s="57"/>
    </row>
    <row r="99" spans="1:22" x14ac:dyDescent="0.3">
      <c r="A99" s="34"/>
      <c r="B99" s="58"/>
      <c r="C99" s="59"/>
      <c r="D99" s="59"/>
      <c r="E99" s="59"/>
      <c r="F99" s="59"/>
      <c r="G99" s="59"/>
      <c r="H99" s="59"/>
      <c r="I99" s="59"/>
      <c r="J99" s="59"/>
    </row>
    <row r="100" spans="1:22" x14ac:dyDescent="0.3">
      <c r="A100" s="34"/>
      <c r="B100" s="58"/>
      <c r="C100" s="59"/>
      <c r="D100" s="59"/>
      <c r="E100" s="59"/>
      <c r="F100" s="59"/>
      <c r="G100" s="59"/>
      <c r="H100" s="59"/>
      <c r="I100" s="59"/>
      <c r="J100" s="59"/>
    </row>
    <row r="101" spans="1:22" x14ac:dyDescent="0.3">
      <c r="A101" s="34"/>
      <c r="B101" s="58"/>
      <c r="C101" s="59"/>
      <c r="D101" s="59"/>
      <c r="E101" s="59"/>
      <c r="F101" s="59"/>
      <c r="G101" s="59"/>
      <c r="H101" s="59"/>
      <c r="I101" s="59"/>
      <c r="J101" s="59"/>
    </row>
    <row r="102" spans="1:22" x14ac:dyDescent="0.3">
      <c r="A102" s="34"/>
      <c r="B102" s="58"/>
      <c r="C102" s="59"/>
      <c r="D102" s="59"/>
      <c r="E102" s="59"/>
      <c r="F102" s="59"/>
      <c r="G102" s="59"/>
      <c r="H102" s="59"/>
      <c r="I102" s="59"/>
      <c r="J102" s="59"/>
    </row>
    <row r="103" spans="1:22" x14ac:dyDescent="0.3">
      <c r="A103" s="34"/>
      <c r="B103" s="58"/>
      <c r="C103" s="59"/>
      <c r="D103" s="59"/>
      <c r="E103" s="59"/>
      <c r="F103" s="59"/>
      <c r="G103" s="59"/>
      <c r="H103" s="59"/>
      <c r="I103" s="59"/>
      <c r="J103" s="59"/>
    </row>
    <row r="104" spans="1:22" x14ac:dyDescent="0.3">
      <c r="A104" s="34"/>
      <c r="B104" s="58"/>
      <c r="C104" s="59"/>
      <c r="D104" s="59"/>
      <c r="E104" s="59"/>
      <c r="F104" s="59"/>
      <c r="G104" s="59"/>
      <c r="H104" s="59"/>
      <c r="I104" s="59"/>
      <c r="J104" s="59"/>
    </row>
    <row r="105" spans="1:22" x14ac:dyDescent="0.3">
      <c r="A105" s="34"/>
      <c r="B105" s="58"/>
      <c r="C105" s="59"/>
      <c r="D105" s="59"/>
      <c r="E105" s="59"/>
      <c r="F105" s="59"/>
      <c r="G105" s="59"/>
      <c r="H105" s="59"/>
      <c r="I105" s="59"/>
      <c r="J105" s="59"/>
    </row>
    <row r="106" spans="1:22" x14ac:dyDescent="0.3">
      <c r="A106" s="34"/>
      <c r="B106" s="60"/>
      <c r="C106" s="59"/>
      <c r="D106" s="59"/>
      <c r="E106" s="59"/>
      <c r="F106" s="59"/>
      <c r="G106" s="59"/>
      <c r="H106" s="59"/>
      <c r="I106" s="59"/>
      <c r="J106" s="59"/>
    </row>
    <row r="107" spans="1:22" x14ac:dyDescent="0.3">
      <c r="A107" s="8"/>
      <c r="B107" s="61"/>
      <c r="C107" s="62"/>
      <c r="D107" s="62"/>
      <c r="E107" s="10"/>
      <c r="F107" s="66"/>
      <c r="G107" s="10"/>
      <c r="H107" s="66"/>
      <c r="I107" s="52"/>
      <c r="J107" s="408"/>
      <c r="K107" s="49"/>
      <c r="T107" s="49"/>
    </row>
    <row r="108" spans="1:22" x14ac:dyDescent="0.3">
      <c r="A108" s="34"/>
      <c r="B108" s="58"/>
      <c r="C108" s="63"/>
      <c r="D108" s="63"/>
      <c r="E108" s="63"/>
      <c r="F108" s="63"/>
      <c r="G108" s="63"/>
      <c r="H108" s="63"/>
      <c r="I108" s="63"/>
      <c r="J108" s="63"/>
      <c r="K108" s="42"/>
      <c r="T108" s="42"/>
    </row>
    <row r="109" spans="1:22" x14ac:dyDescent="0.3">
      <c r="A109" s="34"/>
      <c r="B109" s="58"/>
      <c r="C109" s="63"/>
      <c r="D109" s="63"/>
      <c r="E109" s="63"/>
      <c r="F109" s="63"/>
      <c r="G109" s="63"/>
      <c r="H109" s="63"/>
      <c r="I109" s="63"/>
      <c r="J109" s="63"/>
      <c r="K109" s="42"/>
      <c r="T109" s="42"/>
    </row>
    <row r="110" spans="1:22" x14ac:dyDescent="0.3">
      <c r="A110" s="34"/>
      <c r="B110" s="58"/>
      <c r="C110" s="63"/>
      <c r="D110" s="63"/>
      <c r="E110" s="63"/>
      <c r="F110" s="63"/>
      <c r="G110" s="63"/>
      <c r="H110" s="63"/>
      <c r="I110" s="63"/>
      <c r="J110" s="63"/>
      <c r="K110" s="42"/>
      <c r="L110" s="42"/>
      <c r="T110" s="42"/>
      <c r="V110" s="42"/>
    </row>
    <row r="111" spans="1:22" x14ac:dyDescent="0.3">
      <c r="A111" s="34"/>
      <c r="B111" s="58"/>
      <c r="C111" s="63"/>
      <c r="D111" s="63"/>
      <c r="E111" s="63"/>
      <c r="F111" s="63"/>
      <c r="G111" s="63"/>
      <c r="H111" s="63"/>
      <c r="I111" s="63"/>
      <c r="J111" s="63"/>
    </row>
    <row r="112" spans="1:22" x14ac:dyDescent="0.3">
      <c r="A112" s="34"/>
      <c r="B112" s="58"/>
      <c r="C112" s="63"/>
      <c r="D112" s="63"/>
      <c r="E112" s="63"/>
      <c r="F112" s="63"/>
      <c r="G112" s="63"/>
      <c r="H112" s="63"/>
      <c r="I112" s="63"/>
      <c r="J112" s="63"/>
    </row>
    <row r="113" spans="1:10" x14ac:dyDescent="0.3">
      <c r="A113" s="34"/>
      <c r="B113" s="56"/>
      <c r="C113" s="63"/>
      <c r="D113" s="63"/>
      <c r="E113" s="63"/>
      <c r="F113" s="63"/>
      <c r="G113" s="63"/>
      <c r="H113" s="63"/>
      <c r="I113" s="63"/>
      <c r="J113" s="63"/>
    </row>
    <row r="114" spans="1:10" x14ac:dyDescent="0.3">
      <c r="A114" s="34"/>
      <c r="B114" s="58"/>
      <c r="C114" s="63"/>
      <c r="D114" s="63"/>
      <c r="E114" s="63"/>
      <c r="F114" s="63"/>
      <c r="G114" s="63"/>
      <c r="H114" s="63"/>
      <c r="I114" s="63"/>
      <c r="J114" s="63"/>
    </row>
    <row r="115" spans="1:10" x14ac:dyDescent="0.3">
      <c r="A115" s="34"/>
      <c r="B115" s="58"/>
      <c r="C115" s="63"/>
      <c r="D115" s="63"/>
      <c r="E115" s="63"/>
      <c r="F115" s="63"/>
      <c r="G115" s="63"/>
      <c r="H115" s="63"/>
      <c r="I115" s="63"/>
      <c r="J115" s="63"/>
    </row>
    <row r="116" spans="1:10" x14ac:dyDescent="0.3">
      <c r="A116" s="34"/>
      <c r="B116" s="58"/>
      <c r="C116" s="63"/>
      <c r="D116" s="63"/>
      <c r="E116" s="63"/>
      <c r="F116" s="63"/>
      <c r="G116" s="63"/>
      <c r="H116" s="63"/>
      <c r="I116" s="63"/>
      <c r="J116" s="63"/>
    </row>
    <row r="117" spans="1:10" x14ac:dyDescent="0.3">
      <c r="A117" s="34"/>
      <c r="B117" s="56"/>
      <c r="C117" s="63"/>
      <c r="D117" s="63"/>
      <c r="E117" s="63"/>
      <c r="F117" s="63"/>
      <c r="G117" s="63"/>
      <c r="H117" s="63"/>
      <c r="I117" s="63"/>
      <c r="J117" s="63"/>
    </row>
    <row r="118" spans="1:10" x14ac:dyDescent="0.3">
      <c r="A118" s="34"/>
      <c r="B118" s="35"/>
      <c r="C118" s="63"/>
      <c r="D118" s="63"/>
      <c r="E118" s="63"/>
      <c r="F118" s="63"/>
      <c r="G118" s="63"/>
      <c r="H118" s="63"/>
      <c r="I118" s="63"/>
      <c r="J118" s="63"/>
    </row>
    <row r="119" spans="1:10" x14ac:dyDescent="0.3">
      <c r="A119" s="10"/>
      <c r="B119" s="10"/>
      <c r="C119" s="10"/>
      <c r="D119" s="66"/>
      <c r="E119" s="10"/>
      <c r="F119" s="66"/>
      <c r="G119" s="10"/>
      <c r="H119" s="66"/>
      <c r="I119" s="10"/>
      <c r="J119" s="66"/>
    </row>
    <row r="120" spans="1:10" x14ac:dyDescent="0.3">
      <c r="A120" s="10"/>
      <c r="B120" s="10"/>
      <c r="C120" s="10"/>
      <c r="D120" s="66"/>
      <c r="E120" s="10"/>
      <c r="F120" s="66"/>
      <c r="G120" s="10"/>
      <c r="H120" s="66"/>
      <c r="I120" s="10"/>
      <c r="J120" s="66"/>
    </row>
    <row r="121" spans="1:10" x14ac:dyDescent="0.3">
      <c r="A121" s="10"/>
      <c r="B121" s="10"/>
      <c r="C121" s="10"/>
      <c r="D121" s="66"/>
      <c r="E121" s="10"/>
      <c r="F121" s="66"/>
      <c r="G121" s="10"/>
      <c r="H121" s="66"/>
      <c r="I121" s="10"/>
      <c r="J121" s="66"/>
    </row>
    <row r="122" spans="1:10" x14ac:dyDescent="0.3">
      <c r="A122" s="655"/>
      <c r="B122" s="656"/>
      <c r="C122" s="656"/>
      <c r="D122" s="405"/>
      <c r="E122" s="50"/>
      <c r="F122" s="50"/>
      <c r="G122" s="657"/>
      <c r="H122" s="657"/>
      <c r="I122" s="658"/>
      <c r="J122" s="406"/>
    </row>
    <row r="123" spans="1:10" x14ac:dyDescent="0.3">
      <c r="A123" s="655"/>
      <c r="B123" s="656"/>
      <c r="C123" s="656"/>
      <c r="D123" s="405"/>
      <c r="E123" s="50"/>
      <c r="F123" s="50"/>
      <c r="G123" s="50"/>
      <c r="H123" s="50"/>
      <c r="I123" s="50"/>
      <c r="J123" s="50"/>
    </row>
    <row r="124" spans="1:10" x14ac:dyDescent="0.3">
      <c r="A124" s="34"/>
      <c r="B124" s="51"/>
      <c r="C124" s="52"/>
      <c r="D124" s="408"/>
      <c r="E124" s="50"/>
      <c r="F124" s="50"/>
      <c r="G124" s="50"/>
      <c r="H124" s="50"/>
      <c r="I124" s="52"/>
      <c r="J124" s="408"/>
    </row>
    <row r="125" spans="1:10" x14ac:dyDescent="0.3">
      <c r="A125" s="53"/>
      <c r="B125" s="54"/>
      <c r="C125" s="55"/>
      <c r="D125" s="55"/>
      <c r="E125" s="50"/>
      <c r="F125" s="50"/>
      <c r="G125" s="50"/>
      <c r="H125" s="50"/>
      <c r="I125" s="34"/>
      <c r="J125" s="407"/>
    </row>
    <row r="126" spans="1:10" x14ac:dyDescent="0.3">
      <c r="A126" s="34"/>
      <c r="B126" s="56"/>
      <c r="C126" s="57"/>
      <c r="D126" s="57"/>
      <c r="E126" s="57"/>
      <c r="F126" s="57"/>
      <c r="G126" s="57"/>
      <c r="H126" s="57"/>
      <c r="I126" s="57"/>
      <c r="J126" s="57"/>
    </row>
    <row r="127" spans="1:10" x14ac:dyDescent="0.3">
      <c r="A127" s="34"/>
      <c r="B127" s="58"/>
      <c r="C127" s="59"/>
      <c r="D127" s="59"/>
      <c r="E127" s="59"/>
      <c r="F127" s="59"/>
      <c r="G127" s="59"/>
      <c r="H127" s="59"/>
      <c r="I127" s="59"/>
      <c r="J127" s="59"/>
    </row>
    <row r="128" spans="1:10" x14ac:dyDescent="0.3">
      <c r="A128" s="34"/>
      <c r="B128" s="58"/>
      <c r="C128" s="59"/>
      <c r="D128" s="59"/>
      <c r="E128" s="59"/>
      <c r="F128" s="59"/>
      <c r="G128" s="59"/>
      <c r="H128" s="59"/>
      <c r="I128" s="59"/>
      <c r="J128" s="59"/>
    </row>
    <row r="129" spans="1:10" x14ac:dyDescent="0.3">
      <c r="A129" s="34"/>
      <c r="B129" s="58"/>
      <c r="C129" s="59"/>
      <c r="D129" s="59"/>
      <c r="E129" s="59"/>
      <c r="F129" s="59"/>
      <c r="G129" s="59"/>
      <c r="H129" s="59"/>
      <c r="I129" s="59"/>
      <c r="J129" s="59"/>
    </row>
    <row r="130" spans="1:10" x14ac:dyDescent="0.3">
      <c r="A130" s="34"/>
      <c r="B130" s="58"/>
      <c r="C130" s="59"/>
      <c r="D130" s="59"/>
      <c r="E130" s="59"/>
      <c r="F130" s="59"/>
      <c r="G130" s="59"/>
      <c r="H130" s="59"/>
      <c r="I130" s="59"/>
      <c r="J130" s="59"/>
    </row>
    <row r="131" spans="1:10" x14ac:dyDescent="0.3">
      <c r="A131" s="34"/>
      <c r="B131" s="58"/>
      <c r="C131" s="59"/>
      <c r="D131" s="59"/>
      <c r="E131" s="59"/>
      <c r="F131" s="59"/>
      <c r="G131" s="59"/>
      <c r="H131" s="59"/>
      <c r="I131" s="59"/>
      <c r="J131" s="59"/>
    </row>
    <row r="132" spans="1:10" x14ac:dyDescent="0.3">
      <c r="A132" s="34"/>
      <c r="B132" s="58"/>
      <c r="C132" s="59"/>
      <c r="D132" s="59"/>
      <c r="E132" s="59"/>
      <c r="F132" s="59"/>
      <c r="G132" s="59"/>
      <c r="H132" s="59"/>
      <c r="I132" s="59"/>
      <c r="J132" s="59"/>
    </row>
    <row r="133" spans="1:10" x14ac:dyDescent="0.3">
      <c r="A133" s="34"/>
      <c r="B133" s="58"/>
      <c r="C133" s="59"/>
      <c r="D133" s="59"/>
      <c r="E133" s="59"/>
      <c r="F133" s="59"/>
      <c r="G133" s="59"/>
      <c r="H133" s="59"/>
      <c r="I133" s="59"/>
      <c r="J133" s="59"/>
    </row>
    <row r="134" spans="1:10" x14ac:dyDescent="0.3">
      <c r="A134" s="34"/>
      <c r="B134" s="60"/>
      <c r="C134" s="59"/>
      <c r="D134" s="59"/>
      <c r="E134" s="59"/>
      <c r="F134" s="59"/>
      <c r="G134" s="59"/>
      <c r="H134" s="59"/>
      <c r="I134" s="59"/>
      <c r="J134" s="59"/>
    </row>
    <row r="135" spans="1:10" x14ac:dyDescent="0.3">
      <c r="A135" s="8"/>
      <c r="B135" s="61"/>
      <c r="C135" s="62"/>
      <c r="D135" s="62"/>
      <c r="E135" s="10"/>
      <c r="F135" s="66"/>
      <c r="G135" s="10"/>
      <c r="H135" s="66"/>
      <c r="I135" s="52"/>
      <c r="J135" s="408"/>
    </row>
    <row r="136" spans="1:10" x14ac:dyDescent="0.3">
      <c r="A136" s="34"/>
      <c r="B136" s="58"/>
      <c r="C136" s="63"/>
      <c r="D136" s="63"/>
      <c r="E136" s="63"/>
      <c r="F136" s="63"/>
      <c r="G136" s="63"/>
      <c r="H136" s="63"/>
      <c r="I136" s="63"/>
      <c r="J136" s="63"/>
    </row>
    <row r="137" spans="1:10" x14ac:dyDescent="0.3">
      <c r="A137" s="34"/>
      <c r="B137" s="58"/>
      <c r="C137" s="63"/>
      <c r="D137" s="63"/>
      <c r="E137" s="63"/>
      <c r="F137" s="63"/>
      <c r="G137" s="63"/>
      <c r="H137" s="63"/>
      <c r="I137" s="63"/>
      <c r="J137" s="63"/>
    </row>
    <row r="138" spans="1:10" x14ac:dyDescent="0.3">
      <c r="A138" s="34"/>
      <c r="B138" s="58"/>
      <c r="C138" s="63"/>
      <c r="D138" s="63"/>
      <c r="E138" s="63"/>
      <c r="F138" s="63"/>
      <c r="G138" s="63"/>
      <c r="H138" s="63"/>
      <c r="I138" s="63"/>
      <c r="J138" s="63"/>
    </row>
    <row r="139" spans="1:10" x14ac:dyDescent="0.3">
      <c r="A139" s="34"/>
      <c r="B139" s="58"/>
      <c r="C139" s="63"/>
      <c r="D139" s="63"/>
      <c r="E139" s="63"/>
      <c r="F139" s="63"/>
      <c r="G139" s="63"/>
      <c r="H139" s="63"/>
      <c r="I139" s="63"/>
      <c r="J139" s="63"/>
    </row>
    <row r="140" spans="1:10" x14ac:dyDescent="0.3">
      <c r="A140" s="34"/>
      <c r="B140" s="58"/>
      <c r="C140" s="63"/>
      <c r="D140" s="63"/>
      <c r="E140" s="63"/>
      <c r="F140" s="63"/>
      <c r="G140" s="63"/>
      <c r="H140" s="63"/>
      <c r="I140" s="63"/>
      <c r="J140" s="63"/>
    </row>
    <row r="141" spans="1:10" x14ac:dyDescent="0.3">
      <c r="A141" s="34"/>
      <c r="B141" s="56"/>
      <c r="C141" s="63"/>
      <c r="D141" s="63"/>
      <c r="E141" s="63"/>
      <c r="F141" s="63"/>
      <c r="G141" s="63"/>
      <c r="H141" s="63"/>
      <c r="I141" s="63"/>
      <c r="J141" s="63"/>
    </row>
    <row r="142" spans="1:10" x14ac:dyDescent="0.3">
      <c r="A142" s="34"/>
      <c r="B142" s="58"/>
      <c r="C142" s="63"/>
      <c r="D142" s="63"/>
      <c r="E142" s="63"/>
      <c r="F142" s="63"/>
      <c r="G142" s="63"/>
      <c r="H142" s="63"/>
      <c r="I142" s="63"/>
      <c r="J142" s="63"/>
    </row>
    <row r="143" spans="1:10" x14ac:dyDescent="0.3">
      <c r="A143" s="34"/>
      <c r="B143" s="58"/>
      <c r="C143" s="63"/>
      <c r="D143" s="63"/>
      <c r="E143" s="63"/>
      <c r="F143" s="63"/>
      <c r="G143" s="63"/>
      <c r="H143" s="63"/>
      <c r="I143" s="63"/>
      <c r="J143" s="63"/>
    </row>
    <row r="144" spans="1:10" x14ac:dyDescent="0.3">
      <c r="A144" s="34"/>
      <c r="B144" s="58"/>
      <c r="C144" s="63"/>
      <c r="D144" s="63"/>
      <c r="E144" s="63"/>
      <c r="F144" s="63"/>
      <c r="G144" s="63"/>
      <c r="H144" s="63"/>
      <c r="I144" s="63"/>
      <c r="J144" s="63"/>
    </row>
    <row r="145" spans="1:10" x14ac:dyDescent="0.3">
      <c r="A145" s="34"/>
      <c r="B145" s="56"/>
      <c r="C145" s="63"/>
      <c r="D145" s="63"/>
      <c r="E145" s="63"/>
      <c r="F145" s="63"/>
      <c r="G145" s="63"/>
      <c r="H145" s="63"/>
      <c r="I145" s="63"/>
      <c r="J145" s="63"/>
    </row>
    <row r="146" spans="1:10" x14ac:dyDescent="0.3">
      <c r="A146" s="34"/>
      <c r="B146" s="35"/>
      <c r="C146" s="63"/>
      <c r="D146" s="63"/>
      <c r="E146" s="63"/>
      <c r="F146" s="63"/>
      <c r="G146" s="63"/>
      <c r="H146" s="63"/>
      <c r="I146" s="63"/>
      <c r="J146" s="63"/>
    </row>
    <row r="147" spans="1:10" x14ac:dyDescent="0.3">
      <c r="A147" s="655"/>
      <c r="B147" s="656"/>
      <c r="C147" s="656"/>
      <c r="D147" s="405"/>
      <c r="E147" s="50"/>
      <c r="F147" s="50"/>
      <c r="G147" s="657"/>
      <c r="H147" s="657"/>
      <c r="I147" s="658"/>
      <c r="J147" s="406"/>
    </row>
    <row r="148" spans="1:10" x14ac:dyDescent="0.3">
      <c r="A148" s="655"/>
      <c r="B148" s="656"/>
      <c r="C148" s="656"/>
      <c r="D148" s="405"/>
      <c r="E148" s="50"/>
      <c r="F148" s="50"/>
      <c r="G148" s="50"/>
      <c r="H148" s="50"/>
      <c r="I148" s="50"/>
      <c r="J148" s="50"/>
    </row>
    <row r="149" spans="1:10" x14ac:dyDescent="0.3">
      <c r="A149" s="34"/>
      <c r="B149" s="51"/>
      <c r="C149" s="52"/>
      <c r="D149" s="408"/>
      <c r="E149" s="50"/>
      <c r="F149" s="50"/>
      <c r="G149" s="50"/>
      <c r="H149" s="50"/>
      <c r="I149" s="52"/>
      <c r="J149" s="408"/>
    </row>
    <row r="150" spans="1:10" x14ac:dyDescent="0.3">
      <c r="A150" s="53"/>
      <c r="B150" s="54"/>
      <c r="C150" s="55"/>
      <c r="D150" s="55"/>
      <c r="E150" s="50"/>
      <c r="F150" s="50"/>
      <c r="G150" s="50"/>
      <c r="H150" s="50"/>
      <c r="I150" s="34"/>
      <c r="J150" s="407"/>
    </row>
    <row r="151" spans="1:10" x14ac:dyDescent="0.3">
      <c r="A151" s="34"/>
      <c r="B151" s="56"/>
      <c r="C151" s="57"/>
      <c r="D151" s="57"/>
      <c r="E151" s="57"/>
      <c r="F151" s="57"/>
      <c r="G151" s="57"/>
      <c r="H151" s="57"/>
      <c r="I151" s="57"/>
      <c r="J151" s="57"/>
    </row>
    <row r="152" spans="1:10" x14ac:dyDescent="0.3">
      <c r="A152" s="34"/>
      <c r="B152" s="58"/>
      <c r="C152" s="59"/>
      <c r="D152" s="59"/>
      <c r="E152" s="59"/>
      <c r="F152" s="59"/>
      <c r="G152" s="59"/>
      <c r="H152" s="59"/>
      <c r="I152" s="59"/>
      <c r="J152" s="59"/>
    </row>
    <row r="153" spans="1:10" x14ac:dyDescent="0.3">
      <c r="A153" s="34"/>
      <c r="B153" s="58"/>
      <c r="C153" s="59"/>
      <c r="D153" s="59"/>
      <c r="E153" s="59"/>
      <c r="F153" s="59"/>
      <c r="G153" s="59"/>
      <c r="H153" s="59"/>
      <c r="I153" s="59"/>
      <c r="J153" s="59"/>
    </row>
    <row r="154" spans="1:10" x14ac:dyDescent="0.3">
      <c r="A154" s="34"/>
      <c r="B154" s="58"/>
      <c r="C154" s="59"/>
      <c r="D154" s="59"/>
      <c r="E154" s="59"/>
      <c r="F154" s="59"/>
      <c r="G154" s="59"/>
      <c r="H154" s="59"/>
      <c r="I154" s="59"/>
      <c r="J154" s="59"/>
    </row>
    <row r="155" spans="1:10" x14ac:dyDescent="0.3">
      <c r="A155" s="34"/>
      <c r="B155" s="58"/>
      <c r="C155" s="59"/>
      <c r="D155" s="59"/>
      <c r="E155" s="59"/>
      <c r="F155" s="59"/>
      <c r="G155" s="59"/>
      <c r="H155" s="59"/>
      <c r="I155" s="59"/>
      <c r="J155" s="59"/>
    </row>
    <row r="156" spans="1:10" x14ac:dyDescent="0.3">
      <c r="A156" s="34"/>
      <c r="B156" s="58"/>
      <c r="C156" s="59"/>
      <c r="D156" s="59"/>
      <c r="E156" s="59"/>
      <c r="F156" s="59"/>
      <c r="G156" s="59"/>
      <c r="H156" s="59"/>
      <c r="I156" s="59"/>
      <c r="J156" s="59"/>
    </row>
    <row r="157" spans="1:10" x14ac:dyDescent="0.3">
      <c r="A157" s="34"/>
      <c r="B157" s="58"/>
      <c r="C157" s="59"/>
      <c r="D157" s="59"/>
      <c r="E157" s="59"/>
      <c r="F157" s="59"/>
      <c r="G157" s="59"/>
      <c r="H157" s="59"/>
      <c r="I157" s="59"/>
      <c r="J157" s="59"/>
    </row>
    <row r="158" spans="1:10" x14ac:dyDescent="0.3">
      <c r="A158" s="34"/>
      <c r="B158" s="58"/>
      <c r="C158" s="59"/>
      <c r="D158" s="59"/>
      <c r="E158" s="59"/>
      <c r="F158" s="59"/>
      <c r="G158" s="59"/>
      <c r="H158" s="59"/>
      <c r="I158" s="59"/>
      <c r="J158" s="59"/>
    </row>
    <row r="159" spans="1:10" x14ac:dyDescent="0.3">
      <c r="A159" s="34"/>
      <c r="B159" s="60"/>
      <c r="C159" s="59"/>
      <c r="D159" s="59"/>
      <c r="E159" s="59"/>
      <c r="F159" s="59"/>
      <c r="G159" s="59"/>
      <c r="H159" s="59"/>
      <c r="I159" s="59"/>
      <c r="J159" s="59"/>
    </row>
    <row r="160" spans="1:10" x14ac:dyDescent="0.3">
      <c r="A160" s="8"/>
      <c r="B160" s="61"/>
      <c r="C160" s="62"/>
      <c r="D160" s="62"/>
      <c r="E160" s="10"/>
      <c r="F160" s="66"/>
      <c r="G160" s="10"/>
      <c r="H160" s="66"/>
      <c r="I160" s="52"/>
      <c r="J160" s="408"/>
    </row>
    <row r="161" spans="1:10" x14ac:dyDescent="0.3">
      <c r="A161" s="34"/>
      <c r="B161" s="58"/>
      <c r="C161" s="63"/>
      <c r="D161" s="63"/>
      <c r="E161" s="63"/>
      <c r="F161" s="63"/>
      <c r="G161" s="63"/>
      <c r="H161" s="63"/>
      <c r="I161" s="63"/>
      <c r="J161" s="63"/>
    </row>
    <row r="162" spans="1:10" x14ac:dyDescent="0.3">
      <c r="A162" s="34"/>
      <c r="B162" s="58"/>
      <c r="C162" s="63"/>
      <c r="D162" s="63"/>
      <c r="E162" s="63"/>
      <c r="F162" s="63"/>
      <c r="G162" s="63"/>
      <c r="H162" s="63"/>
      <c r="I162" s="63"/>
      <c r="J162" s="63"/>
    </row>
    <row r="163" spans="1:10" x14ac:dyDescent="0.3">
      <c r="A163" s="34"/>
      <c r="B163" s="58"/>
      <c r="C163" s="63"/>
      <c r="D163" s="63"/>
      <c r="E163" s="63"/>
      <c r="F163" s="63"/>
      <c r="G163" s="63"/>
      <c r="H163" s="63"/>
      <c r="I163" s="63"/>
      <c r="J163" s="63"/>
    </row>
    <row r="164" spans="1:10" x14ac:dyDescent="0.3">
      <c r="A164" s="34"/>
      <c r="B164" s="58"/>
      <c r="C164" s="63"/>
      <c r="D164" s="63"/>
      <c r="E164" s="63"/>
      <c r="F164" s="63"/>
      <c r="G164" s="63"/>
      <c r="H164" s="63"/>
      <c r="I164" s="63"/>
      <c r="J164" s="63"/>
    </row>
    <row r="165" spans="1:10" x14ac:dyDescent="0.3">
      <c r="A165" s="34"/>
      <c r="B165" s="58"/>
      <c r="C165" s="63"/>
      <c r="D165" s="63"/>
      <c r="E165" s="63"/>
      <c r="F165" s="63"/>
      <c r="G165" s="63"/>
      <c r="H165" s="63"/>
      <c r="I165" s="63"/>
      <c r="J165" s="63"/>
    </row>
    <row r="166" spans="1:10" x14ac:dyDescent="0.3">
      <c r="A166" s="34"/>
      <c r="B166" s="56"/>
      <c r="C166" s="63"/>
      <c r="D166" s="63"/>
      <c r="E166" s="63"/>
      <c r="F166" s="63"/>
      <c r="G166" s="63"/>
      <c r="H166" s="63"/>
      <c r="I166" s="63"/>
      <c r="J166" s="63"/>
    </row>
    <row r="167" spans="1:10" x14ac:dyDescent="0.3">
      <c r="A167" s="34"/>
      <c r="B167" s="58"/>
      <c r="C167" s="63"/>
      <c r="D167" s="63"/>
      <c r="E167" s="63"/>
      <c r="F167" s="63"/>
      <c r="G167" s="63"/>
      <c r="H167" s="63"/>
      <c r="I167" s="63"/>
      <c r="J167" s="63"/>
    </row>
    <row r="168" spans="1:10" x14ac:dyDescent="0.3">
      <c r="A168" s="34"/>
      <c r="B168" s="58"/>
      <c r="C168" s="63"/>
      <c r="D168" s="63"/>
      <c r="E168" s="63"/>
      <c r="F168" s="63"/>
      <c r="G168" s="63"/>
      <c r="H168" s="63"/>
      <c r="I168" s="63"/>
      <c r="J168" s="63"/>
    </row>
    <row r="169" spans="1:10" x14ac:dyDescent="0.3">
      <c r="A169" s="34"/>
      <c r="B169" s="58"/>
      <c r="C169" s="63"/>
      <c r="D169" s="63"/>
      <c r="E169" s="63"/>
      <c r="F169" s="63"/>
      <c r="G169" s="63"/>
      <c r="H169" s="63"/>
      <c r="I169" s="63"/>
      <c r="J169" s="63"/>
    </row>
    <row r="170" spans="1:10" x14ac:dyDescent="0.3">
      <c r="A170" s="34"/>
      <c r="B170" s="56"/>
      <c r="C170" s="63"/>
      <c r="D170" s="63"/>
      <c r="E170" s="63"/>
      <c r="F170" s="63"/>
      <c r="G170" s="63"/>
      <c r="H170" s="63"/>
      <c r="I170" s="63"/>
      <c r="J170" s="63"/>
    </row>
    <row r="171" spans="1:10" x14ac:dyDescent="0.3">
      <c r="A171" s="34"/>
      <c r="B171" s="35"/>
      <c r="C171" s="63"/>
      <c r="D171" s="63"/>
      <c r="E171" s="63"/>
      <c r="F171" s="63"/>
      <c r="G171" s="63"/>
      <c r="H171" s="63"/>
      <c r="I171" s="63"/>
      <c r="J171" s="63"/>
    </row>
    <row r="172" spans="1:10" x14ac:dyDescent="0.3">
      <c r="A172" s="10"/>
      <c r="B172" s="10"/>
      <c r="C172" s="10"/>
      <c r="D172" s="66"/>
      <c r="E172" s="10"/>
      <c r="F172" s="66"/>
      <c r="G172" s="10"/>
      <c r="H172" s="66"/>
      <c r="I172" s="10"/>
      <c r="J172" s="66"/>
    </row>
    <row r="173" spans="1:10" x14ac:dyDescent="0.3">
      <c r="A173" s="10"/>
      <c r="B173" s="10"/>
      <c r="C173" s="10"/>
      <c r="D173" s="66"/>
      <c r="E173" s="10"/>
      <c r="F173" s="66"/>
      <c r="G173" s="10"/>
      <c r="H173" s="66"/>
      <c r="I173" s="10"/>
      <c r="J173" s="66"/>
    </row>
  </sheetData>
  <mergeCells count="55">
    <mergeCell ref="BY23:CA23"/>
    <mergeCell ref="BU2:BX2"/>
    <mergeCell ref="H1:J1"/>
    <mergeCell ref="C1:F1"/>
    <mergeCell ref="C2:F2"/>
    <mergeCell ref="Q3:R3"/>
    <mergeCell ref="Q23:R23"/>
    <mergeCell ref="G3:I3"/>
    <mergeCell ref="G23:I23"/>
    <mergeCell ref="A94:C94"/>
    <mergeCell ref="G94:I94"/>
    <mergeCell ref="A70:C70"/>
    <mergeCell ref="A69:C69"/>
    <mergeCell ref="G69:I69"/>
    <mergeCell ref="A148:C148"/>
    <mergeCell ref="A95:C95"/>
    <mergeCell ref="A122:C122"/>
    <mergeCell ref="G122:I122"/>
    <mergeCell ref="A123:C123"/>
    <mergeCell ref="A147:C147"/>
    <mergeCell ref="G147:I147"/>
    <mergeCell ref="AA3:AC3"/>
    <mergeCell ref="AA23:AC23"/>
    <mergeCell ref="R1:T1"/>
    <mergeCell ref="AB1:AD1"/>
    <mergeCell ref="CL1:CN2"/>
    <mergeCell ref="CC1:CK1"/>
    <mergeCell ref="CC2:CK2"/>
    <mergeCell ref="BO3:BQ3"/>
    <mergeCell ref="BO23:BQ23"/>
    <mergeCell ref="AK3:AM3"/>
    <mergeCell ref="AK23:AM23"/>
    <mergeCell ref="AU3:AW3"/>
    <mergeCell ref="AU23:AW23"/>
    <mergeCell ref="BE3:BG3"/>
    <mergeCell ref="BE23:BG23"/>
    <mergeCell ref="BY3:CA3"/>
    <mergeCell ref="AL1:AN1"/>
    <mergeCell ref="AV1:AX1"/>
    <mergeCell ref="BF1:BH1"/>
    <mergeCell ref="BP1:BR1"/>
    <mergeCell ref="BZ1:CB1"/>
    <mergeCell ref="BU1:BX1"/>
    <mergeCell ref="BK1:BN1"/>
    <mergeCell ref="BK2:BN2"/>
    <mergeCell ref="BA1:BD1"/>
    <mergeCell ref="BA2:BD2"/>
    <mergeCell ref="AQ1:AT1"/>
    <mergeCell ref="AQ2:AT2"/>
    <mergeCell ref="AG1:AJ1"/>
    <mergeCell ref="AG2:AJ2"/>
    <mergeCell ref="W1:Z1"/>
    <mergeCell ref="W2:Z2"/>
    <mergeCell ref="M1:P1"/>
    <mergeCell ref="M2:P2"/>
  </mergeCells>
  <phoneticPr fontId="3" type="noConversion"/>
  <pageMargins left="0.6" right="0.7" top="0.35" bottom="0.33" header="0.3" footer="0.3"/>
  <pageSetup paperSize="9" scale="68" orientation="portrait" r:id="rId1"/>
  <colBreaks count="3" manualBreakCount="3">
    <brk id="10" max="42" man="1"/>
    <brk id="60" max="42" man="1"/>
    <brk id="70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O49"/>
  <sheetViews>
    <sheetView view="pageBreakPreview" zoomScale="90" zoomScaleNormal="100" zoomScaleSheetLayoutView="90" workbookViewId="0">
      <selection activeCell="D6" sqref="D6:E6"/>
    </sheetView>
  </sheetViews>
  <sheetFormatPr defaultRowHeight="14.4" x14ac:dyDescent="0.3"/>
  <cols>
    <col min="1" max="1" width="8.88671875" style="221"/>
    <col min="2" max="2" width="6" style="221" customWidth="1"/>
    <col min="3" max="3" width="29.6640625" style="221" bestFit="1" customWidth="1"/>
    <col min="4" max="5" width="11.109375" style="221" customWidth="1"/>
    <col min="6" max="9" width="9.109375" style="221" customWidth="1"/>
    <col min="10" max="10" width="14.77734375" style="221" customWidth="1"/>
    <col min="11" max="11" width="10.33203125" customWidth="1"/>
    <col min="12" max="12" width="34.6640625" customWidth="1"/>
    <col min="13" max="13" width="17" customWidth="1"/>
    <col min="14" max="14" width="18.33203125" customWidth="1"/>
    <col min="15" max="15" width="17.6640625" customWidth="1"/>
    <col min="16" max="16" width="35.6640625" customWidth="1"/>
    <col min="17" max="17" width="19" customWidth="1"/>
    <col min="18" max="18" width="16.33203125" customWidth="1"/>
    <col min="19" max="19" width="14.6640625" customWidth="1"/>
    <col min="20" max="20" width="17.44140625" customWidth="1"/>
    <col min="21" max="22" width="14.44140625" bestFit="1" customWidth="1"/>
    <col min="23" max="25" width="11.6640625" bestFit="1" customWidth="1"/>
    <col min="26" max="26" width="14.44140625" bestFit="1" customWidth="1"/>
  </cols>
  <sheetData>
    <row r="1" spans="1:15" ht="15" customHeight="1" x14ac:dyDescent="0.3">
      <c r="C1" s="666" t="s">
        <v>347</v>
      </c>
      <c r="D1" s="666"/>
      <c r="E1" s="666"/>
      <c r="G1" s="664" t="s">
        <v>526</v>
      </c>
      <c r="H1" s="664"/>
      <c r="I1" s="664"/>
      <c r="J1" s="605"/>
      <c r="N1" s="643" t="s">
        <v>527</v>
      </c>
      <c r="O1" s="663"/>
    </row>
    <row r="2" spans="1:15" ht="21" customHeight="1" x14ac:dyDescent="0.3">
      <c r="A2" s="586" t="s">
        <v>552</v>
      </c>
      <c r="C2" s="666"/>
      <c r="D2" s="666"/>
      <c r="E2" s="666"/>
      <c r="F2" s="629"/>
      <c r="G2" s="664"/>
      <c r="H2" s="664"/>
      <c r="I2" s="664"/>
      <c r="J2" s="586" t="s">
        <v>553</v>
      </c>
      <c r="L2" s="665" t="s">
        <v>412</v>
      </c>
      <c r="M2" s="665"/>
      <c r="N2" s="663"/>
      <c r="O2" s="663"/>
    </row>
    <row r="3" spans="1:15" x14ac:dyDescent="0.3">
      <c r="C3" s="552"/>
      <c r="D3" s="553"/>
      <c r="E3" s="553"/>
      <c r="F3" s="553"/>
      <c r="G3" s="544"/>
      <c r="H3" s="544"/>
      <c r="I3" s="544"/>
      <c r="J3" s="584"/>
      <c r="K3" s="630"/>
      <c r="L3" s="630"/>
      <c r="M3" s="630"/>
      <c r="N3" s="663"/>
      <c r="O3" s="663"/>
    </row>
    <row r="4" spans="1:15" x14ac:dyDescent="0.3">
      <c r="D4" s="602"/>
      <c r="E4" s="556"/>
      <c r="I4" s="602" t="s">
        <v>418</v>
      </c>
      <c r="J4" s="203"/>
      <c r="O4" s="64" t="s">
        <v>418</v>
      </c>
    </row>
    <row r="5" spans="1:15" ht="30" customHeight="1" x14ac:dyDescent="0.3">
      <c r="B5" s="165" t="s">
        <v>45</v>
      </c>
      <c r="C5" s="591" t="s">
        <v>46</v>
      </c>
      <c r="D5" s="548" t="s">
        <v>358</v>
      </c>
      <c r="E5" s="548" t="s">
        <v>449</v>
      </c>
      <c r="F5" s="725" t="s">
        <v>48</v>
      </c>
      <c r="G5" s="726"/>
      <c r="H5" s="726"/>
      <c r="I5" s="736"/>
      <c r="J5" s="631"/>
      <c r="K5" s="165" t="s">
        <v>45</v>
      </c>
      <c r="L5" s="165" t="s">
        <v>46</v>
      </c>
      <c r="M5" s="165" t="s">
        <v>35</v>
      </c>
      <c r="N5" s="165" t="s">
        <v>36</v>
      </c>
      <c r="O5" s="165" t="s">
        <v>37</v>
      </c>
    </row>
    <row r="6" spans="1:15" x14ac:dyDescent="0.3">
      <c r="B6" s="33" t="s">
        <v>12</v>
      </c>
      <c r="C6" s="597" t="s">
        <v>51</v>
      </c>
      <c r="D6" s="549">
        <v>0</v>
      </c>
      <c r="E6" s="549"/>
      <c r="F6" s="595"/>
      <c r="G6" s="596"/>
      <c r="H6" s="596"/>
      <c r="I6" s="737"/>
      <c r="J6" s="632"/>
      <c r="K6" s="196" t="s">
        <v>12</v>
      </c>
      <c r="L6" s="178" t="s">
        <v>452</v>
      </c>
      <c r="M6" s="182">
        <v>46152000</v>
      </c>
      <c r="N6" s="182">
        <v>10672340</v>
      </c>
      <c r="O6" s="182">
        <f>SUM(M6:N6)</f>
        <v>56824340</v>
      </c>
    </row>
    <row r="7" spans="1:15" ht="22.5" customHeight="1" x14ac:dyDescent="0.3">
      <c r="B7" s="178"/>
      <c r="C7" s="225"/>
      <c r="D7" s="549">
        <v>0</v>
      </c>
      <c r="E7" s="551"/>
      <c r="F7" s="595"/>
      <c r="G7" s="596"/>
      <c r="H7" s="596"/>
      <c r="I7" s="737"/>
      <c r="J7" s="632"/>
      <c r="K7" s="196" t="s">
        <v>13</v>
      </c>
      <c r="L7" s="178" t="s">
        <v>451</v>
      </c>
      <c r="M7" s="182">
        <v>0</v>
      </c>
      <c r="N7" s="182">
        <v>2120250</v>
      </c>
      <c r="O7" s="182">
        <f>SUM(M7:N7)</f>
        <v>2120250</v>
      </c>
    </row>
    <row r="8" spans="1:15" x14ac:dyDescent="0.3">
      <c r="B8" s="592"/>
      <c r="C8" s="593"/>
      <c r="D8" s="593"/>
      <c r="E8" s="593"/>
      <c r="F8" s="593"/>
      <c r="G8" s="593"/>
      <c r="H8" s="593"/>
      <c r="I8" s="738"/>
      <c r="J8" s="203"/>
      <c r="K8" s="196"/>
      <c r="L8" s="178"/>
      <c r="M8" s="182"/>
      <c r="N8" s="182"/>
      <c r="O8" s="182"/>
    </row>
    <row r="9" spans="1:15" x14ac:dyDescent="0.3">
      <c r="B9" s="33" t="s">
        <v>13</v>
      </c>
      <c r="C9" s="594" t="s">
        <v>225</v>
      </c>
      <c r="D9" s="551">
        <v>5000000</v>
      </c>
      <c r="E9" s="550">
        <v>5000000</v>
      </c>
      <c r="F9" s="727"/>
      <c r="G9" s="728"/>
      <c r="H9" s="728"/>
      <c r="I9" s="729"/>
      <c r="J9" s="632"/>
      <c r="K9" s="196"/>
      <c r="L9" s="178"/>
      <c r="M9" s="182"/>
      <c r="N9" s="182"/>
      <c r="O9" s="182"/>
    </row>
    <row r="10" spans="1:15" x14ac:dyDescent="0.3">
      <c r="B10" s="592"/>
      <c r="C10" s="593"/>
      <c r="D10" s="593"/>
      <c r="E10" s="593"/>
      <c r="F10" s="593"/>
      <c r="G10" s="593"/>
      <c r="H10" s="593"/>
      <c r="I10" s="738"/>
      <c r="J10" s="203"/>
      <c r="K10" s="196"/>
      <c r="L10" s="178"/>
      <c r="M10" s="182"/>
      <c r="N10" s="182"/>
      <c r="O10" s="182"/>
    </row>
    <row r="11" spans="1:15" x14ac:dyDescent="0.3">
      <c r="B11" s="33" t="s">
        <v>14</v>
      </c>
      <c r="C11" s="594" t="s">
        <v>224</v>
      </c>
      <c r="D11" s="551">
        <v>7000000</v>
      </c>
      <c r="E11" s="550">
        <v>7000000</v>
      </c>
      <c r="F11" s="727"/>
      <c r="G11" s="728"/>
      <c r="H11" s="728"/>
      <c r="I11" s="729"/>
      <c r="J11" s="632"/>
      <c r="K11" s="196" t="s">
        <v>54</v>
      </c>
      <c r="L11" s="178"/>
      <c r="M11" s="182"/>
      <c r="N11" s="182"/>
      <c r="O11" s="182"/>
    </row>
    <row r="12" spans="1:15" x14ac:dyDescent="0.3">
      <c r="B12" s="592"/>
      <c r="C12" s="593"/>
      <c r="D12" s="593"/>
      <c r="E12" s="593"/>
      <c r="F12" s="593"/>
      <c r="G12" s="593"/>
      <c r="H12" s="593"/>
      <c r="I12" s="738"/>
      <c r="J12" s="203"/>
      <c r="K12" s="33"/>
      <c r="L12" s="633" t="s">
        <v>0</v>
      </c>
      <c r="M12" s="177">
        <f>SUM(M6:M11)</f>
        <v>46152000</v>
      </c>
      <c r="N12" s="177">
        <f>SUM(N6:N11)</f>
        <v>12792590</v>
      </c>
      <c r="O12" s="177">
        <f>SUM(O6:O11)</f>
        <v>58944590</v>
      </c>
    </row>
    <row r="13" spans="1:15" x14ac:dyDescent="0.3">
      <c r="B13" s="33" t="s">
        <v>15</v>
      </c>
      <c r="C13" s="588" t="s">
        <v>52</v>
      </c>
      <c r="D13" s="549">
        <v>15000000</v>
      </c>
      <c r="E13" s="551">
        <v>22803500</v>
      </c>
      <c r="F13" s="727"/>
      <c r="G13" s="728"/>
      <c r="H13" s="728"/>
      <c r="I13" s="729"/>
      <c r="J13" s="632"/>
      <c r="K13" s="556"/>
      <c r="L13" s="50"/>
      <c r="M13" s="59"/>
      <c r="N13" s="59"/>
      <c r="O13" s="59"/>
    </row>
    <row r="14" spans="1:15" x14ac:dyDescent="0.3">
      <c r="B14" s="598"/>
      <c r="C14" s="599"/>
      <c r="D14" s="599"/>
      <c r="E14" s="599"/>
      <c r="F14" s="599"/>
      <c r="G14" s="599"/>
      <c r="H14" s="599"/>
      <c r="I14" s="600"/>
      <c r="J14" s="557"/>
    </row>
    <row r="15" spans="1:15" x14ac:dyDescent="0.3">
      <c r="B15" s="33" t="s">
        <v>16</v>
      </c>
      <c r="C15" s="588" t="s">
        <v>229</v>
      </c>
      <c r="D15" s="549">
        <f>SUM(D16:D23)</f>
        <v>87000000</v>
      </c>
      <c r="E15" s="551">
        <f>SUM(E16:E23)</f>
        <v>59886220</v>
      </c>
      <c r="F15" s="727"/>
      <c r="G15" s="728"/>
      <c r="H15" s="728"/>
      <c r="I15" s="729"/>
      <c r="J15" s="82"/>
    </row>
    <row r="16" spans="1:15" x14ac:dyDescent="0.3">
      <c r="B16" s="136"/>
      <c r="C16" s="589" t="s">
        <v>310</v>
      </c>
      <c r="D16" s="319">
        <v>33000000</v>
      </c>
      <c r="E16" s="547">
        <v>15241220</v>
      </c>
      <c r="F16" s="727"/>
      <c r="G16" s="728"/>
      <c r="H16" s="728"/>
      <c r="I16" s="729"/>
      <c r="J16" s="82"/>
    </row>
    <row r="17" spans="2:15" x14ac:dyDescent="0.3">
      <c r="B17" s="136"/>
      <c r="C17" s="589" t="s">
        <v>304</v>
      </c>
      <c r="D17" s="590">
        <v>24000000</v>
      </c>
      <c r="E17" s="293">
        <v>21645000</v>
      </c>
      <c r="F17" s="727"/>
      <c r="G17" s="728"/>
      <c r="H17" s="728"/>
      <c r="I17" s="729"/>
      <c r="J17" s="82"/>
      <c r="O17" s="104"/>
    </row>
    <row r="18" spans="2:15" x14ac:dyDescent="0.3">
      <c r="B18" s="136"/>
      <c r="C18" s="589" t="s">
        <v>305</v>
      </c>
      <c r="D18" s="590">
        <v>2000000</v>
      </c>
      <c r="E18" s="293">
        <v>2000000</v>
      </c>
      <c r="F18" s="727"/>
      <c r="G18" s="728"/>
      <c r="H18" s="728"/>
      <c r="I18" s="729"/>
      <c r="J18" s="82"/>
      <c r="O18" s="101"/>
    </row>
    <row r="19" spans="2:15" x14ac:dyDescent="0.3">
      <c r="B19" s="739"/>
      <c r="C19" s="589" t="s">
        <v>312</v>
      </c>
      <c r="D19" s="590">
        <v>5000000</v>
      </c>
      <c r="E19" s="293">
        <v>3000000</v>
      </c>
      <c r="F19" s="730"/>
      <c r="G19" s="731"/>
      <c r="H19" s="731"/>
      <c r="I19" s="732"/>
      <c r="J19" s="66"/>
    </row>
    <row r="20" spans="2:15" x14ac:dyDescent="0.3">
      <c r="B20" s="190"/>
      <c r="C20" s="589" t="s">
        <v>313</v>
      </c>
      <c r="D20" s="590">
        <v>6000000</v>
      </c>
      <c r="E20" s="293">
        <v>6000000</v>
      </c>
      <c r="F20" s="727"/>
      <c r="G20" s="728"/>
      <c r="H20" s="728"/>
      <c r="I20" s="729"/>
      <c r="J20" s="82"/>
    </row>
    <row r="21" spans="2:15" x14ac:dyDescent="0.3">
      <c r="B21" s="190"/>
      <c r="C21" s="589" t="s">
        <v>226</v>
      </c>
      <c r="D21" s="590">
        <v>3000000</v>
      </c>
      <c r="E21" s="293">
        <v>3000000</v>
      </c>
      <c r="F21" s="727"/>
      <c r="G21" s="728"/>
      <c r="H21" s="728"/>
      <c r="I21" s="729"/>
      <c r="J21" s="82"/>
    </row>
    <row r="22" spans="2:15" x14ac:dyDescent="0.3">
      <c r="B22" s="209"/>
      <c r="C22" s="274" t="s">
        <v>227</v>
      </c>
      <c r="D22" s="590">
        <v>5000000</v>
      </c>
      <c r="E22" s="293">
        <v>0</v>
      </c>
      <c r="F22" s="727"/>
      <c r="G22" s="728"/>
      <c r="H22" s="728"/>
      <c r="I22" s="729"/>
      <c r="J22" s="82"/>
    </row>
    <row r="23" spans="2:15" x14ac:dyDescent="0.3">
      <c r="B23" s="209"/>
      <c r="C23" s="274" t="s">
        <v>283</v>
      </c>
      <c r="D23" s="590">
        <v>9000000</v>
      </c>
      <c r="E23" s="293">
        <v>9000000</v>
      </c>
      <c r="F23" s="727"/>
      <c r="G23" s="728"/>
      <c r="H23" s="728"/>
      <c r="I23" s="729"/>
      <c r="J23" s="82"/>
    </row>
    <row r="24" spans="2:15" x14ac:dyDescent="0.3">
      <c r="B24" s="1"/>
      <c r="C24" s="604" t="s">
        <v>53</v>
      </c>
      <c r="D24" s="603">
        <f>+D6+D13+D15+D9+D11</f>
        <v>114000000</v>
      </c>
      <c r="E24" s="558">
        <f>+E6+E13+E15+E9+E11</f>
        <v>94689720</v>
      </c>
      <c r="F24" s="733"/>
      <c r="G24" s="734"/>
      <c r="H24" s="734"/>
      <c r="I24" s="735"/>
      <c r="J24" s="82"/>
    </row>
    <row r="25" spans="2:15" x14ac:dyDescent="0.3">
      <c r="B25" s="50"/>
      <c r="C25" s="203"/>
      <c r="D25" s="203"/>
      <c r="E25" s="555"/>
      <c r="F25" s="554"/>
      <c r="G25" s="554"/>
      <c r="H25" s="554"/>
      <c r="I25" s="554"/>
      <c r="J25" s="554"/>
    </row>
    <row r="26" spans="2:15" x14ac:dyDescent="0.3">
      <c r="B26" s="50"/>
      <c r="C26" s="203"/>
      <c r="D26" s="554"/>
      <c r="E26" s="554"/>
      <c r="F26" s="554"/>
      <c r="G26" s="554"/>
      <c r="H26" s="554"/>
      <c r="I26" s="554"/>
      <c r="J26" s="554"/>
    </row>
    <row r="27" spans="2:15" ht="24" customHeight="1" x14ac:dyDescent="0.3">
      <c r="B27" s="50"/>
      <c r="C27" s="203"/>
      <c r="D27" s="554"/>
      <c r="E27" s="554"/>
      <c r="F27" s="554"/>
      <c r="G27" s="554"/>
      <c r="H27" s="554"/>
      <c r="I27" s="554"/>
      <c r="J27" s="554"/>
    </row>
    <row r="28" spans="2:15" x14ac:dyDescent="0.3">
      <c r="B28" s="50"/>
      <c r="C28" s="203"/>
      <c r="D28" s="554"/>
      <c r="E28" s="554"/>
      <c r="F28" s="554"/>
      <c r="G28" s="554"/>
      <c r="H28" s="554"/>
      <c r="I28" s="554"/>
      <c r="J28" s="554"/>
    </row>
    <row r="29" spans="2:15" x14ac:dyDescent="0.3">
      <c r="B29" s="50"/>
      <c r="C29" s="203"/>
      <c r="D29" s="554"/>
      <c r="E29" s="554"/>
      <c r="F29" s="554"/>
      <c r="G29" s="554"/>
      <c r="H29" s="554"/>
      <c r="I29" s="554"/>
      <c r="J29" s="554"/>
    </row>
    <row r="30" spans="2:15" x14ac:dyDescent="0.3">
      <c r="B30" s="66"/>
      <c r="C30" s="203"/>
      <c r="D30" s="554"/>
      <c r="E30" s="554"/>
      <c r="F30" s="66"/>
      <c r="G30" s="66"/>
      <c r="H30" s="66"/>
      <c r="I30" s="66"/>
      <c r="J30" s="66"/>
    </row>
    <row r="31" spans="2:15" x14ac:dyDescent="0.3">
      <c r="B31" s="66"/>
      <c r="C31" s="203"/>
      <c r="D31" s="554"/>
      <c r="E31" s="554"/>
      <c r="F31" s="66"/>
      <c r="G31" s="546"/>
      <c r="H31" s="66"/>
      <c r="I31" s="66"/>
      <c r="J31" s="66"/>
    </row>
    <row r="32" spans="2:15" x14ac:dyDescent="0.3">
      <c r="B32" s="66"/>
      <c r="C32" s="66"/>
      <c r="D32" s="66"/>
      <c r="E32" s="66"/>
      <c r="F32" s="66"/>
      <c r="G32" s="203"/>
      <c r="H32" s="203"/>
      <c r="I32" s="203"/>
      <c r="J32" s="203"/>
    </row>
    <row r="33" spans="2:12" x14ac:dyDescent="0.3">
      <c r="B33" s="66"/>
      <c r="C33" s="545"/>
      <c r="D33" s="66"/>
      <c r="E33" s="66"/>
      <c r="F33" s="168"/>
      <c r="G33" s="168"/>
      <c r="H33" s="66"/>
      <c r="I33" s="66"/>
      <c r="J33" s="66"/>
    </row>
    <row r="34" spans="2:12" x14ac:dyDescent="0.3">
      <c r="B34" s="168"/>
      <c r="C34" s="66"/>
      <c r="D34" s="66"/>
      <c r="E34" s="66"/>
      <c r="F34" s="66"/>
      <c r="G34" s="66"/>
      <c r="H34" s="66"/>
      <c r="I34" s="66"/>
      <c r="J34" s="66"/>
      <c r="K34" s="37"/>
      <c r="L34" s="10"/>
    </row>
    <row r="35" spans="2:12" x14ac:dyDescent="0.3">
      <c r="B35" s="68"/>
      <c r="C35" s="168"/>
      <c r="D35" s="168"/>
      <c r="E35" s="168"/>
      <c r="F35" s="50"/>
      <c r="G35" s="203"/>
      <c r="H35" s="557"/>
      <c r="I35" s="557"/>
      <c r="J35" s="557"/>
      <c r="K35" s="10"/>
      <c r="L35" s="10"/>
    </row>
    <row r="36" spans="2:12" x14ac:dyDescent="0.3">
      <c r="B36" s="50"/>
      <c r="C36" s="68"/>
      <c r="D36" s="66"/>
      <c r="E36" s="66"/>
      <c r="F36" s="555"/>
      <c r="G36" s="555"/>
      <c r="H36" s="70"/>
      <c r="I36" s="70"/>
      <c r="J36" s="70"/>
    </row>
    <row r="37" spans="2:12" x14ac:dyDescent="0.3">
      <c r="B37" s="555"/>
      <c r="C37" s="50"/>
      <c r="D37" s="50"/>
      <c r="E37" s="50"/>
      <c r="F37" s="59"/>
      <c r="G37" s="59"/>
      <c r="H37" s="59"/>
      <c r="I37" s="59"/>
      <c r="J37" s="59"/>
    </row>
    <row r="38" spans="2:12" x14ac:dyDescent="0.3">
      <c r="B38" s="555"/>
      <c r="C38" s="555"/>
      <c r="D38" s="555"/>
      <c r="E38" s="555"/>
      <c r="F38" s="59"/>
      <c r="G38" s="59"/>
      <c r="H38" s="59"/>
      <c r="I38" s="59"/>
      <c r="J38" s="59"/>
    </row>
    <row r="39" spans="2:12" x14ac:dyDescent="0.3">
      <c r="B39" s="555"/>
      <c r="C39" s="50"/>
      <c r="D39" s="59"/>
      <c r="E39" s="59"/>
      <c r="F39" s="59"/>
      <c r="G39" s="59"/>
      <c r="H39" s="59"/>
      <c r="I39" s="59"/>
      <c r="J39" s="59"/>
    </row>
    <row r="40" spans="2:12" x14ac:dyDescent="0.3">
      <c r="B40" s="555"/>
      <c r="C40" s="50"/>
      <c r="D40" s="59"/>
      <c r="E40" s="59"/>
      <c r="F40" s="59"/>
      <c r="G40" s="59"/>
      <c r="H40" s="59"/>
      <c r="I40" s="59"/>
      <c r="J40" s="59"/>
    </row>
    <row r="41" spans="2:12" x14ac:dyDescent="0.3">
      <c r="B41" s="555"/>
      <c r="C41" s="50"/>
      <c r="D41" s="59"/>
      <c r="E41" s="59"/>
      <c r="F41" s="59"/>
      <c r="G41" s="59"/>
      <c r="H41" s="59"/>
      <c r="I41" s="59"/>
      <c r="J41" s="59"/>
    </row>
    <row r="42" spans="2:12" x14ac:dyDescent="0.3">
      <c r="B42" s="555"/>
      <c r="C42" s="50"/>
      <c r="D42" s="59"/>
      <c r="E42" s="59"/>
      <c r="F42" s="59"/>
      <c r="G42" s="59"/>
      <c r="H42" s="59"/>
      <c r="I42" s="59"/>
      <c r="J42" s="59"/>
    </row>
    <row r="43" spans="2:12" x14ac:dyDescent="0.3">
      <c r="B43" s="555"/>
      <c r="C43" s="50"/>
      <c r="D43" s="59"/>
      <c r="E43" s="59"/>
      <c r="F43" s="59"/>
      <c r="G43" s="59"/>
      <c r="H43" s="59"/>
      <c r="I43" s="59"/>
      <c r="J43" s="59"/>
    </row>
    <row r="44" spans="2:12" x14ac:dyDescent="0.3">
      <c r="B44" s="555"/>
      <c r="C44" s="50"/>
      <c r="D44" s="59"/>
      <c r="E44" s="59"/>
      <c r="F44" s="57"/>
      <c r="G44" s="57"/>
      <c r="H44" s="57"/>
      <c r="I44" s="57"/>
      <c r="J44" s="57"/>
    </row>
    <row r="45" spans="2:12" x14ac:dyDescent="0.3">
      <c r="B45" s="555"/>
      <c r="C45" s="50"/>
      <c r="D45" s="59"/>
      <c r="E45" s="59"/>
      <c r="F45" s="50"/>
      <c r="G45" s="50"/>
      <c r="H45" s="66"/>
      <c r="I45" s="66"/>
      <c r="J45" s="66"/>
    </row>
    <row r="46" spans="2:12" x14ac:dyDescent="0.3">
      <c r="B46" s="50"/>
      <c r="C46" s="71"/>
      <c r="D46" s="57"/>
      <c r="E46" s="57"/>
      <c r="F46" s="50"/>
      <c r="G46" s="50"/>
      <c r="H46" s="66"/>
      <c r="I46" s="66"/>
      <c r="J46" s="66"/>
    </row>
    <row r="47" spans="2:12" x14ac:dyDescent="0.3">
      <c r="B47" s="50"/>
      <c r="C47" s="50"/>
      <c r="D47" s="50"/>
      <c r="E47" s="50"/>
      <c r="F47" s="50"/>
      <c r="G47" s="50"/>
      <c r="H47" s="66"/>
      <c r="I47" s="66"/>
      <c r="J47" s="66"/>
    </row>
    <row r="48" spans="2:12" x14ac:dyDescent="0.3">
      <c r="B48" s="50"/>
      <c r="C48" s="50"/>
      <c r="D48" s="50"/>
      <c r="E48" s="50"/>
    </row>
    <row r="49" spans="3:5" x14ac:dyDescent="0.3">
      <c r="C49" s="50"/>
      <c r="D49" s="50"/>
      <c r="E49" s="50"/>
    </row>
  </sheetData>
  <mergeCells count="18">
    <mergeCell ref="F22:I22"/>
    <mergeCell ref="F23:I23"/>
    <mergeCell ref="F24:I24"/>
    <mergeCell ref="F17:I17"/>
    <mergeCell ref="F18:I18"/>
    <mergeCell ref="F19:I19"/>
    <mergeCell ref="F20:I20"/>
    <mergeCell ref="F21:I21"/>
    <mergeCell ref="F11:I11"/>
    <mergeCell ref="F9:I9"/>
    <mergeCell ref="F13:I13"/>
    <mergeCell ref="F15:I15"/>
    <mergeCell ref="F16:I16"/>
    <mergeCell ref="N1:O3"/>
    <mergeCell ref="G1:I2"/>
    <mergeCell ref="L2:M2"/>
    <mergeCell ref="C1:E2"/>
    <mergeCell ref="F5:I5"/>
  </mergeCells>
  <phoneticPr fontId="3" type="noConversion"/>
  <pageMargins left="0.39370078740157483" right="0.44" top="0.52" bottom="0.98425196850393704" header="0.51181102362204722" footer="0.51181102362204722"/>
  <pageSetup paperSize="9" scale="80" orientation="portrait" r:id="rId1"/>
  <headerFooter alignWithMargins="0"/>
  <colBreaks count="2" manualBreakCount="2">
    <brk id="9" max="30" man="1"/>
    <brk id="15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L30"/>
  <sheetViews>
    <sheetView view="pageBreakPreview" zoomScale="85" zoomScaleNormal="100" zoomScaleSheetLayoutView="85" workbookViewId="0">
      <selection activeCell="J23" sqref="J23"/>
    </sheetView>
  </sheetViews>
  <sheetFormatPr defaultRowHeight="14.4" x14ac:dyDescent="0.3"/>
  <cols>
    <col min="1" max="1" width="34.33203125" bestFit="1" customWidth="1"/>
    <col min="2" max="2" width="9.5546875" bestFit="1" customWidth="1"/>
    <col min="3" max="3" width="18.33203125" bestFit="1" customWidth="1"/>
    <col min="4" max="10" width="15.6640625" bestFit="1" customWidth="1"/>
    <col min="11" max="11" width="15.6640625" customWidth="1"/>
    <col min="12" max="12" width="15.6640625" bestFit="1" customWidth="1"/>
  </cols>
  <sheetData>
    <row r="1" spans="1:12" ht="15.6" customHeight="1" x14ac:dyDescent="0.3">
      <c r="A1" s="221"/>
      <c r="B1" s="221"/>
      <c r="C1" s="221"/>
      <c r="D1" s="221"/>
      <c r="E1" s="221"/>
      <c r="F1" s="221"/>
      <c r="G1" s="221"/>
      <c r="I1" s="222"/>
      <c r="J1" s="643" t="s">
        <v>528</v>
      </c>
      <c r="K1" s="643"/>
      <c r="L1" s="643"/>
    </row>
    <row r="2" spans="1:12" x14ac:dyDescent="0.3">
      <c r="A2" s="531" t="s">
        <v>554</v>
      </c>
      <c r="B2" s="553"/>
      <c r="C2" s="553"/>
      <c r="D2" s="667" t="s">
        <v>1</v>
      </c>
      <c r="E2" s="667"/>
      <c r="F2" s="667"/>
      <c r="G2" s="667"/>
      <c r="H2" s="667"/>
      <c r="I2" s="222"/>
      <c r="J2" s="643"/>
      <c r="K2" s="643"/>
      <c r="L2" s="643"/>
    </row>
    <row r="3" spans="1:12" x14ac:dyDescent="0.3">
      <c r="A3" s="221"/>
      <c r="B3" s="221"/>
      <c r="C3" s="221"/>
      <c r="D3" s="221"/>
      <c r="E3" s="221"/>
      <c r="F3" s="221"/>
      <c r="G3" s="221"/>
      <c r="H3" s="222"/>
      <c r="I3" s="222"/>
      <c r="J3" s="222"/>
      <c r="K3" s="221"/>
      <c r="L3" s="221"/>
    </row>
    <row r="4" spans="1:12" x14ac:dyDescent="0.3">
      <c r="A4" s="221"/>
      <c r="B4" s="221"/>
      <c r="C4" s="221"/>
      <c r="D4" s="221"/>
      <c r="E4" s="221"/>
      <c r="F4" s="221"/>
      <c r="G4" s="221"/>
      <c r="H4" s="221"/>
      <c r="I4" s="221"/>
      <c r="J4" s="64" t="s">
        <v>33</v>
      </c>
      <c r="K4" s="64"/>
      <c r="L4" s="221"/>
    </row>
    <row r="5" spans="1:12" ht="24" x14ac:dyDescent="0.3">
      <c r="A5" s="283" t="s">
        <v>31</v>
      </c>
      <c r="B5" s="283" t="s">
        <v>32</v>
      </c>
      <c r="C5" s="284" t="s">
        <v>450</v>
      </c>
      <c r="D5" s="283" t="s">
        <v>314</v>
      </c>
      <c r="E5" s="284" t="s">
        <v>2</v>
      </c>
      <c r="F5" s="284"/>
      <c r="G5" s="283">
        <v>2020</v>
      </c>
      <c r="H5" s="283">
        <v>2021</v>
      </c>
      <c r="I5" s="283">
        <v>2022</v>
      </c>
      <c r="J5" s="283">
        <v>2023</v>
      </c>
      <c r="K5" s="283" t="s">
        <v>410</v>
      </c>
      <c r="L5" s="283" t="s">
        <v>220</v>
      </c>
    </row>
    <row r="6" spans="1:12" ht="14.7" customHeight="1" x14ac:dyDescent="0.3">
      <c r="A6" s="668" t="s">
        <v>12</v>
      </c>
      <c r="B6" s="673" t="s">
        <v>315</v>
      </c>
      <c r="C6" s="670">
        <v>600000000</v>
      </c>
      <c r="D6" s="670">
        <f>600000000-46152000</f>
        <v>553848000</v>
      </c>
      <c r="E6" s="678">
        <v>48213</v>
      </c>
      <c r="F6" s="420" t="s">
        <v>249</v>
      </c>
      <c r="G6" s="99">
        <f>12*3846000</f>
        <v>46152000</v>
      </c>
      <c r="H6" s="99">
        <f>12*3846000</f>
        <v>46152000</v>
      </c>
      <c r="I6" s="99">
        <f>12*3846000</f>
        <v>46152000</v>
      </c>
      <c r="J6" s="99">
        <f>12*3846000</f>
        <v>46152000</v>
      </c>
      <c r="K6" s="99">
        <v>369240000</v>
      </c>
      <c r="L6" s="285">
        <f>SUM(G6:K6)</f>
        <v>553848000</v>
      </c>
    </row>
    <row r="7" spans="1:12" x14ac:dyDescent="0.3">
      <c r="A7" s="669"/>
      <c r="B7" s="674"/>
      <c r="C7" s="671"/>
      <c r="D7" s="671"/>
      <c r="E7" s="679"/>
      <c r="F7" s="419" t="s">
        <v>36</v>
      </c>
      <c r="G7" s="99">
        <v>10672340</v>
      </c>
      <c r="H7" s="99">
        <v>10879054.633333333</v>
      </c>
      <c r="I7" s="99">
        <v>9846788.2333333325</v>
      </c>
      <c r="J7" s="99">
        <v>8814521.833333334</v>
      </c>
      <c r="K7" s="99">
        <v>33354584.266666666</v>
      </c>
      <c r="L7" s="285">
        <f>SUM(G7:K7)</f>
        <v>73567288.966666669</v>
      </c>
    </row>
    <row r="8" spans="1:12" ht="14.4" customHeight="1" x14ac:dyDescent="0.3">
      <c r="A8" s="672" t="s">
        <v>13</v>
      </c>
      <c r="B8" s="673" t="s">
        <v>400</v>
      </c>
      <c r="C8" s="673" t="s">
        <v>223</v>
      </c>
      <c r="D8" s="675">
        <v>350000000</v>
      </c>
      <c r="E8" s="680">
        <v>48213</v>
      </c>
      <c r="F8" s="420" t="s">
        <v>249</v>
      </c>
      <c r="G8" s="99">
        <v>0</v>
      </c>
      <c r="H8" s="99">
        <v>31824000</v>
      </c>
      <c r="I8" s="99">
        <v>31824000</v>
      </c>
      <c r="J8" s="99">
        <v>31824000</v>
      </c>
      <c r="K8" s="99">
        <v>254528000</v>
      </c>
      <c r="L8" s="285">
        <f>SUM(G8:K8)</f>
        <v>350000000</v>
      </c>
    </row>
    <row r="9" spans="1:12" x14ac:dyDescent="0.3">
      <c r="A9" s="672"/>
      <c r="B9" s="674"/>
      <c r="C9" s="674"/>
      <c r="D9" s="675"/>
      <c r="E9" s="680"/>
      <c r="F9" s="419" t="s">
        <v>36</v>
      </c>
      <c r="G9" s="99">
        <v>2120250</v>
      </c>
      <c r="H9" s="99">
        <v>6749841.7799999993</v>
      </c>
      <c r="I9" s="99">
        <v>6109224.6599999992</v>
      </c>
      <c r="J9" s="99">
        <v>5468607.5399999991</v>
      </c>
      <c r="K9" s="99">
        <v>20686643.999999996</v>
      </c>
      <c r="L9" s="285">
        <f>SUM(G9:K9)</f>
        <v>41134567.979999989</v>
      </c>
    </row>
    <row r="10" spans="1:12" x14ac:dyDescent="0.3">
      <c r="A10" s="421"/>
      <c r="B10" s="178"/>
      <c r="C10" s="178"/>
      <c r="D10" s="178"/>
      <c r="E10" s="421"/>
      <c r="F10" s="421"/>
      <c r="G10" s="99"/>
      <c r="H10" s="99"/>
      <c r="I10" s="99"/>
      <c r="J10" s="99"/>
      <c r="K10" s="99"/>
      <c r="L10" s="285"/>
    </row>
    <row r="11" spans="1:12" x14ac:dyDescent="0.3">
      <c r="A11" s="421"/>
      <c r="B11" s="178"/>
      <c r="C11" s="178"/>
      <c r="D11" s="178"/>
      <c r="E11" s="421"/>
      <c r="F11" s="421"/>
      <c r="G11" s="99"/>
      <c r="H11" s="99"/>
      <c r="I11" s="99"/>
      <c r="J11" s="99"/>
      <c r="K11" s="99"/>
      <c r="L11" s="285"/>
    </row>
    <row r="12" spans="1:12" x14ac:dyDescent="0.3">
      <c r="A12" s="421"/>
      <c r="B12" s="286" t="s">
        <v>0</v>
      </c>
      <c r="C12" s="286"/>
      <c r="D12" s="286"/>
      <c r="E12" s="174" t="s">
        <v>223</v>
      </c>
      <c r="F12" s="174"/>
      <c r="G12" s="287">
        <f>SUM(G6:G9)</f>
        <v>58944590</v>
      </c>
      <c r="H12" s="287">
        <f>SUM(H6:H9)</f>
        <v>95604896.413333327</v>
      </c>
      <c r="I12" s="287">
        <f>SUM(I6:I9)</f>
        <v>93932012.893333331</v>
      </c>
      <c r="J12" s="287">
        <f>SUM(J6:J9)</f>
        <v>92259129.373333335</v>
      </c>
      <c r="K12" s="287">
        <f>SUM(K6:K9)</f>
        <v>677809228.26666665</v>
      </c>
      <c r="L12" s="315">
        <f>SUM(G12:K12)</f>
        <v>1018549856.9466667</v>
      </c>
    </row>
    <row r="13" spans="1:12" x14ac:dyDescent="0.3">
      <c r="A13" s="89"/>
      <c r="B13" s="426"/>
      <c r="C13" s="426"/>
      <c r="D13" s="427"/>
      <c r="E13" s="427"/>
      <c r="F13" s="428"/>
      <c r="G13" s="428"/>
      <c r="H13" s="428"/>
      <c r="I13" s="428"/>
      <c r="J13" s="428"/>
      <c r="K13" s="428"/>
      <c r="L13" s="429"/>
    </row>
    <row r="14" spans="1:12" x14ac:dyDescent="0.3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14.7" customHeight="1" x14ac:dyDescent="0.3">
      <c r="A15" s="676" t="s">
        <v>257</v>
      </c>
      <c r="B15" s="676" t="s">
        <v>258</v>
      </c>
      <c r="C15" s="676" t="s">
        <v>259</v>
      </c>
      <c r="D15" s="677"/>
      <c r="E15" s="677"/>
      <c r="F15" s="302"/>
      <c r="G15" s="302"/>
      <c r="H15" s="302"/>
      <c r="I15" s="302"/>
      <c r="J15" s="302"/>
      <c r="K15" s="302"/>
      <c r="L15" s="418"/>
    </row>
    <row r="16" spans="1:12" x14ac:dyDescent="0.3">
      <c r="A16" s="676"/>
      <c r="B16" s="676"/>
      <c r="C16" s="677"/>
      <c r="D16" s="677"/>
      <c r="E16" s="677"/>
      <c r="F16" s="302"/>
      <c r="G16" s="302"/>
      <c r="H16" s="302"/>
      <c r="I16" s="302"/>
      <c r="J16" s="302"/>
      <c r="K16" s="302"/>
      <c r="L16" s="302"/>
    </row>
    <row r="17" spans="1:12" ht="30.6" x14ac:dyDescent="0.3">
      <c r="A17" s="676"/>
      <c r="B17" s="676"/>
      <c r="C17" s="303" t="s">
        <v>401</v>
      </c>
      <c r="D17" s="303" t="s">
        <v>402</v>
      </c>
      <c r="E17" s="304" t="s">
        <v>403</v>
      </c>
      <c r="F17" s="303" t="s">
        <v>404</v>
      </c>
      <c r="G17" s="303" t="s">
        <v>405</v>
      </c>
      <c r="H17" s="304" t="s">
        <v>406</v>
      </c>
      <c r="I17" s="303" t="s">
        <v>407</v>
      </c>
      <c r="J17" s="303" t="s">
        <v>408</v>
      </c>
      <c r="K17" s="303" t="s">
        <v>409</v>
      </c>
      <c r="L17" s="418" t="s">
        <v>260</v>
      </c>
    </row>
    <row r="18" spans="1:12" x14ac:dyDescent="0.3">
      <c r="A18" s="305" t="s">
        <v>261</v>
      </c>
      <c r="B18" s="306" t="s">
        <v>262</v>
      </c>
      <c r="C18" s="307">
        <v>1049500000</v>
      </c>
      <c r="D18" s="307">
        <v>1049500000</v>
      </c>
      <c r="E18" s="307">
        <v>1049500000</v>
      </c>
      <c r="F18" s="307">
        <v>1049500000</v>
      </c>
      <c r="G18" s="307">
        <v>1049500000</v>
      </c>
      <c r="H18" s="307">
        <v>1049500000</v>
      </c>
      <c r="I18" s="307">
        <v>1049500000</v>
      </c>
      <c r="J18" s="307">
        <v>1049500000</v>
      </c>
      <c r="K18" s="307">
        <f>4*J18</f>
        <v>4198000000</v>
      </c>
      <c r="L18" s="308">
        <f>SUM(C18:K18)</f>
        <v>12594000000</v>
      </c>
    </row>
    <row r="19" spans="1:12" x14ac:dyDescent="0.3">
      <c r="A19" s="305" t="s">
        <v>316</v>
      </c>
      <c r="B19" s="306" t="s">
        <v>264</v>
      </c>
      <c r="C19" s="307">
        <v>40000000</v>
      </c>
      <c r="D19" s="307"/>
      <c r="E19" s="307"/>
      <c r="F19" s="307"/>
      <c r="G19" s="307"/>
      <c r="H19" s="307"/>
      <c r="I19" s="307"/>
      <c r="J19" s="307"/>
      <c r="K19" s="307"/>
      <c r="L19" s="308">
        <f>SUM(C19:K19)</f>
        <v>40000000</v>
      </c>
    </row>
    <row r="20" spans="1:12" ht="28.8" x14ac:dyDescent="0.3">
      <c r="A20" s="309" t="s">
        <v>263</v>
      </c>
      <c r="B20" s="306" t="s">
        <v>266</v>
      </c>
      <c r="C20" s="307">
        <v>38521437</v>
      </c>
      <c r="D20" s="307">
        <v>15000000</v>
      </c>
      <c r="E20" s="307">
        <v>15000000</v>
      </c>
      <c r="F20" s="307">
        <v>15000000</v>
      </c>
      <c r="G20" s="307">
        <v>15000000</v>
      </c>
      <c r="H20" s="307">
        <v>15000000</v>
      </c>
      <c r="I20" s="307">
        <v>15000000</v>
      </c>
      <c r="J20" s="307">
        <v>15000000</v>
      </c>
      <c r="K20" s="307">
        <f>4*J20</f>
        <v>60000000</v>
      </c>
      <c r="L20" s="308">
        <f>SUM(C20:K20)</f>
        <v>203521437</v>
      </c>
    </row>
    <row r="21" spans="1:12" ht="19.2" x14ac:dyDescent="0.3">
      <c r="A21" s="310" t="s">
        <v>265</v>
      </c>
      <c r="B21" s="306" t="s">
        <v>268</v>
      </c>
      <c r="C21" s="307"/>
      <c r="D21" s="307"/>
      <c r="E21" s="302"/>
      <c r="F21" s="302"/>
      <c r="G21" s="302"/>
      <c r="H21" s="302"/>
      <c r="I21" s="302"/>
      <c r="J21" s="302"/>
      <c r="K21" s="302"/>
      <c r="L21" s="308">
        <f>SUM(C21:I21)</f>
        <v>0</v>
      </c>
    </row>
    <row r="22" spans="1:12" ht="38.4" x14ac:dyDescent="0.3">
      <c r="A22" s="310" t="s">
        <v>267</v>
      </c>
      <c r="B22" s="306" t="s">
        <v>270</v>
      </c>
      <c r="C22" s="307"/>
      <c r="D22" s="307"/>
      <c r="E22" s="302"/>
      <c r="F22" s="302"/>
      <c r="G22" s="302"/>
      <c r="H22" s="302"/>
      <c r="I22" s="302"/>
      <c r="J22" s="302"/>
      <c r="K22" s="302"/>
      <c r="L22" s="308">
        <f>SUM(C22:I22)</f>
        <v>0</v>
      </c>
    </row>
    <row r="23" spans="1:12" x14ac:dyDescent="0.3">
      <c r="A23" s="310" t="s">
        <v>269</v>
      </c>
      <c r="B23" s="306" t="s">
        <v>272</v>
      </c>
      <c r="C23" s="307">
        <v>3200000</v>
      </c>
      <c r="D23" s="307">
        <v>3200000</v>
      </c>
      <c r="E23" s="307">
        <v>3200000</v>
      </c>
      <c r="F23" s="307">
        <v>3200000</v>
      </c>
      <c r="G23" s="307">
        <v>3200000</v>
      </c>
      <c r="H23" s="307">
        <v>3200000</v>
      </c>
      <c r="I23" s="307">
        <v>3200000</v>
      </c>
      <c r="J23" s="307">
        <v>3200000</v>
      </c>
      <c r="K23" s="307">
        <f>4*J23</f>
        <v>12800000</v>
      </c>
      <c r="L23" s="308">
        <f>SUM(C23:K23)</f>
        <v>38400000</v>
      </c>
    </row>
    <row r="24" spans="1:12" ht="28.8" x14ac:dyDescent="0.3">
      <c r="A24" s="310" t="s">
        <v>271</v>
      </c>
      <c r="B24" s="306" t="s">
        <v>274</v>
      </c>
      <c r="C24" s="307"/>
      <c r="D24" s="307"/>
      <c r="E24" s="302"/>
      <c r="F24" s="302"/>
      <c r="G24" s="302"/>
      <c r="H24" s="302"/>
      <c r="I24" s="302"/>
      <c r="J24" s="302"/>
      <c r="K24" s="302"/>
      <c r="L24" s="308">
        <f>SUM(C24:I24)</f>
        <v>0</v>
      </c>
    </row>
    <row r="25" spans="1:12" x14ac:dyDescent="0.3">
      <c r="A25" s="311" t="s">
        <v>273</v>
      </c>
      <c r="B25" s="312" t="s">
        <v>276</v>
      </c>
      <c r="C25" s="723">
        <f t="shared" ref="C25:K25" si="0">SUM(C18:C24)</f>
        <v>1131221437</v>
      </c>
      <c r="D25" s="723">
        <f t="shared" si="0"/>
        <v>1067700000</v>
      </c>
      <c r="E25" s="723">
        <f t="shared" si="0"/>
        <v>1067700000</v>
      </c>
      <c r="F25" s="723">
        <f t="shared" si="0"/>
        <v>1067700000</v>
      </c>
      <c r="G25" s="723">
        <f t="shared" si="0"/>
        <v>1067700000</v>
      </c>
      <c r="H25" s="723">
        <f t="shared" si="0"/>
        <v>1067700000</v>
      </c>
      <c r="I25" s="723">
        <f t="shared" si="0"/>
        <v>1067700000</v>
      </c>
      <c r="J25" s="723">
        <f t="shared" si="0"/>
        <v>1067700000</v>
      </c>
      <c r="K25" s="723">
        <f t="shared" si="0"/>
        <v>4270800000</v>
      </c>
      <c r="L25" s="724">
        <f t="shared" ref="L25:L30" si="1">SUM(C25:K25)</f>
        <v>12875921437</v>
      </c>
    </row>
    <row r="26" spans="1:12" x14ac:dyDescent="0.3">
      <c r="A26" s="311" t="s">
        <v>275</v>
      </c>
      <c r="B26" s="312" t="s">
        <v>277</v>
      </c>
      <c r="C26" s="723">
        <f t="shared" ref="C26:K26" si="2">C25*0.5</f>
        <v>565610718.5</v>
      </c>
      <c r="D26" s="723">
        <f t="shared" si="2"/>
        <v>533850000</v>
      </c>
      <c r="E26" s="723">
        <f t="shared" si="2"/>
        <v>533850000</v>
      </c>
      <c r="F26" s="723">
        <f t="shared" si="2"/>
        <v>533850000</v>
      </c>
      <c r="G26" s="723">
        <f t="shared" si="2"/>
        <v>533850000</v>
      </c>
      <c r="H26" s="723">
        <f t="shared" si="2"/>
        <v>533850000</v>
      </c>
      <c r="I26" s="723">
        <f t="shared" si="2"/>
        <v>533850000</v>
      </c>
      <c r="J26" s="723">
        <f t="shared" si="2"/>
        <v>533850000</v>
      </c>
      <c r="K26" s="723">
        <f t="shared" si="2"/>
        <v>2135400000</v>
      </c>
      <c r="L26" s="724">
        <f t="shared" si="1"/>
        <v>6437960718.5</v>
      </c>
    </row>
    <row r="27" spans="1:12" x14ac:dyDescent="0.3">
      <c r="A27" s="313" t="s">
        <v>278</v>
      </c>
      <c r="B27" s="306" t="s">
        <v>256</v>
      </c>
      <c r="C27" s="182">
        <v>46152000</v>
      </c>
      <c r="D27" s="182">
        <f t="shared" ref="D27:F28" si="3">+H6+H8</f>
        <v>77976000</v>
      </c>
      <c r="E27" s="182">
        <f t="shared" si="3"/>
        <v>77976000</v>
      </c>
      <c r="F27" s="182">
        <f t="shared" si="3"/>
        <v>77976000</v>
      </c>
      <c r="G27" s="182">
        <v>77976000</v>
      </c>
      <c r="H27" s="182">
        <v>77976000</v>
      </c>
      <c r="I27" s="182">
        <v>77976000</v>
      </c>
      <c r="J27" s="182">
        <v>77976000</v>
      </c>
      <c r="K27" s="182">
        <v>311864000</v>
      </c>
      <c r="L27" s="308">
        <f t="shared" si="1"/>
        <v>903848000</v>
      </c>
    </row>
    <row r="28" spans="1:12" ht="20.399999999999999" x14ac:dyDescent="0.3">
      <c r="A28" s="313" t="s">
        <v>279</v>
      </c>
      <c r="B28" s="306" t="s">
        <v>280</v>
      </c>
      <c r="C28" s="99">
        <f>+G7+G9</f>
        <v>12792590</v>
      </c>
      <c r="D28" s="99">
        <f t="shared" si="3"/>
        <v>17628896.413333334</v>
      </c>
      <c r="E28" s="99">
        <f t="shared" si="3"/>
        <v>15956012.893333331</v>
      </c>
      <c r="F28" s="99">
        <f t="shared" si="3"/>
        <v>14283129.373333333</v>
      </c>
      <c r="G28" s="99">
        <v>12610245.853333332</v>
      </c>
      <c r="H28" s="99">
        <v>10937362.333333334</v>
      </c>
      <c r="I28" s="99">
        <v>9264478.8133333325</v>
      </c>
      <c r="J28" s="99">
        <v>7591595.293333333</v>
      </c>
      <c r="K28" s="387">
        <v>13637546</v>
      </c>
      <c r="L28" s="308">
        <f t="shared" si="1"/>
        <v>114701856.97333333</v>
      </c>
    </row>
    <row r="29" spans="1:12" x14ac:dyDescent="0.3">
      <c r="A29" s="311" t="s">
        <v>281</v>
      </c>
      <c r="B29" s="304">
        <v>12</v>
      </c>
      <c r="C29" s="720">
        <f t="shared" ref="C29:K29" si="4">SUM(C27:C28)</f>
        <v>58944590</v>
      </c>
      <c r="D29" s="720">
        <f t="shared" si="4"/>
        <v>95604896.413333327</v>
      </c>
      <c r="E29" s="720">
        <f t="shared" si="4"/>
        <v>93932012.893333331</v>
      </c>
      <c r="F29" s="720">
        <f t="shared" si="4"/>
        <v>92259129.373333335</v>
      </c>
      <c r="G29" s="720">
        <f t="shared" si="4"/>
        <v>90586245.853333324</v>
      </c>
      <c r="H29" s="720">
        <f t="shared" si="4"/>
        <v>88913362.333333328</v>
      </c>
      <c r="I29" s="720">
        <f t="shared" si="4"/>
        <v>87240478.813333333</v>
      </c>
      <c r="J29" s="721">
        <f t="shared" si="4"/>
        <v>85567595.293333337</v>
      </c>
      <c r="K29" s="721">
        <f t="shared" si="4"/>
        <v>325501546</v>
      </c>
      <c r="L29" s="722">
        <f t="shared" si="1"/>
        <v>1018549856.9733332</v>
      </c>
    </row>
    <row r="30" spans="1:12" ht="30.6" x14ac:dyDescent="0.3">
      <c r="A30" s="311" t="s">
        <v>282</v>
      </c>
      <c r="B30" s="304">
        <v>13</v>
      </c>
      <c r="C30" s="314">
        <f t="shared" ref="C30:K30" si="5">+C26-C29</f>
        <v>506666128.5</v>
      </c>
      <c r="D30" s="314">
        <f t="shared" si="5"/>
        <v>438245103.5866667</v>
      </c>
      <c r="E30" s="314">
        <f t="shared" si="5"/>
        <v>439917987.10666668</v>
      </c>
      <c r="F30" s="314">
        <f t="shared" si="5"/>
        <v>441590870.62666667</v>
      </c>
      <c r="G30" s="314">
        <f t="shared" si="5"/>
        <v>443263754.14666665</v>
      </c>
      <c r="H30" s="314">
        <f t="shared" si="5"/>
        <v>444936637.66666669</v>
      </c>
      <c r="I30" s="314">
        <f t="shared" si="5"/>
        <v>446609521.18666667</v>
      </c>
      <c r="J30" s="314">
        <f t="shared" si="5"/>
        <v>448282404.70666665</v>
      </c>
      <c r="K30" s="314">
        <f t="shared" si="5"/>
        <v>1809898454</v>
      </c>
      <c r="L30" s="308">
        <f t="shared" si="1"/>
        <v>5419410861.5266666</v>
      </c>
    </row>
  </sheetData>
  <mergeCells count="15">
    <mergeCell ref="A15:A17"/>
    <mergeCell ref="B15:B17"/>
    <mergeCell ref="C15:E16"/>
    <mergeCell ref="B6:B7"/>
    <mergeCell ref="C6:C7"/>
    <mergeCell ref="E6:E7"/>
    <mergeCell ref="E8:E9"/>
    <mergeCell ref="J1:L2"/>
    <mergeCell ref="D2:H2"/>
    <mergeCell ref="A6:A7"/>
    <mergeCell ref="D6:D7"/>
    <mergeCell ref="A8:A9"/>
    <mergeCell ref="B8:B9"/>
    <mergeCell ref="C8:C9"/>
    <mergeCell ref="D8:D9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V45"/>
  <sheetViews>
    <sheetView view="pageBreakPreview" zoomScaleNormal="100" zoomScaleSheetLayoutView="100" workbookViewId="0">
      <selection activeCell="K6" sqref="K6:P18"/>
    </sheetView>
  </sheetViews>
  <sheetFormatPr defaultColWidth="9" defaultRowHeight="13.8" x14ac:dyDescent="0.3"/>
  <cols>
    <col min="1" max="1" width="6.5546875" style="7" customWidth="1"/>
    <col min="2" max="2" width="40.6640625" style="7" customWidth="1"/>
    <col min="3" max="4" width="9.6640625" style="7" customWidth="1"/>
    <col min="5" max="6" width="10.6640625" style="7" customWidth="1"/>
    <col min="7" max="10" width="11.5546875" style="7" customWidth="1"/>
    <col min="11" max="11" width="9" style="7"/>
    <col min="12" max="12" width="42.33203125" style="7" customWidth="1"/>
    <col min="13" max="13" width="10.33203125" style="7" customWidth="1"/>
    <col min="14" max="14" width="9.6640625" style="7" customWidth="1"/>
    <col min="15" max="16" width="10.33203125" style="7" customWidth="1"/>
    <col min="17" max="17" width="4.5546875" style="7" customWidth="1"/>
    <col min="18" max="18" width="27.44140625" style="7" bestFit="1" customWidth="1"/>
    <col min="19" max="19" width="11.5546875" style="7" customWidth="1"/>
    <col min="20" max="20" width="10.33203125" style="7" customWidth="1"/>
    <col min="21" max="21" width="9.33203125" style="7" customWidth="1"/>
    <col min="22" max="22" width="17.6640625" style="7" customWidth="1"/>
    <col min="23" max="16384" width="9" style="7"/>
  </cols>
  <sheetData>
    <row r="1" spans="1:22" x14ac:dyDescent="0.3">
      <c r="H1" s="643" t="s">
        <v>529</v>
      </c>
      <c r="I1" s="643"/>
      <c r="J1" s="643"/>
      <c r="N1" s="643" t="s">
        <v>531</v>
      </c>
      <c r="O1" s="643"/>
      <c r="P1" s="643"/>
      <c r="R1" s="7" t="s">
        <v>558</v>
      </c>
      <c r="U1" s="643" t="s">
        <v>532</v>
      </c>
      <c r="V1" s="643"/>
    </row>
    <row r="2" spans="1:22" ht="14.4" x14ac:dyDescent="0.3">
      <c r="A2"/>
      <c r="B2" s="637" t="s">
        <v>555</v>
      </c>
      <c r="C2" s="682"/>
      <c r="D2" s="682"/>
      <c r="E2" s="683"/>
      <c r="F2" s="423"/>
      <c r="H2" s="643"/>
      <c r="I2" s="643"/>
      <c r="J2" s="643"/>
      <c r="K2" s="638" t="s">
        <v>557</v>
      </c>
      <c r="L2" s="6"/>
      <c r="M2" s="13"/>
      <c r="N2" s="643"/>
      <c r="O2" s="643"/>
      <c r="P2" s="643"/>
      <c r="U2" s="643"/>
      <c r="V2" s="643"/>
    </row>
    <row r="3" spans="1:22" ht="34.200000000000003" customHeight="1" x14ac:dyDescent="0.3">
      <c r="B3" s="634"/>
      <c r="C3" s="681" t="s">
        <v>348</v>
      </c>
      <c r="D3" s="681"/>
      <c r="E3" s="681"/>
      <c r="F3" s="681"/>
      <c r="G3" s="223"/>
      <c r="H3" s="223"/>
      <c r="I3" s="223"/>
      <c r="J3" s="416"/>
      <c r="L3" s="585" t="s">
        <v>349</v>
      </c>
      <c r="M3" s="601"/>
      <c r="N3" s="223"/>
      <c r="O3" s="223"/>
      <c r="P3" s="223"/>
      <c r="R3" s="665" t="s">
        <v>350</v>
      </c>
      <c r="S3" s="665"/>
      <c r="T3" s="665"/>
      <c r="U3" s="223"/>
      <c r="V3" s="223"/>
    </row>
    <row r="4" spans="1:22" ht="14.4" x14ac:dyDescent="0.3">
      <c r="A4"/>
      <c r="B4"/>
      <c r="C4" s="4"/>
      <c r="D4" s="101"/>
      <c r="E4" s="18"/>
      <c r="F4" s="422"/>
      <c r="G4" s="223"/>
      <c r="H4" s="223"/>
      <c r="I4" s="223"/>
      <c r="J4" s="416"/>
      <c r="K4" s="5"/>
      <c r="L4" s="5"/>
      <c r="M4" s="5"/>
      <c r="N4" s="223"/>
      <c r="O4" s="223"/>
      <c r="P4" s="223"/>
      <c r="U4" s="223"/>
      <c r="V4" s="223"/>
    </row>
    <row r="5" spans="1:22" ht="14.4" x14ac:dyDescent="0.3">
      <c r="A5" s="34"/>
      <c r="B5" s="34"/>
      <c r="C5" s="69"/>
      <c r="D5" s="69"/>
      <c r="E5" s="55"/>
      <c r="F5" s="55"/>
      <c r="G5" s="647" t="s">
        <v>418</v>
      </c>
      <c r="H5" s="647"/>
      <c r="I5" s="648"/>
      <c r="J5" s="417"/>
      <c r="K5" s="14"/>
      <c r="L5" s="14"/>
      <c r="M5" s="13"/>
      <c r="N5" s="90"/>
      <c r="O5" s="647" t="s">
        <v>418</v>
      </c>
      <c r="P5" s="647"/>
      <c r="T5" s="685" t="s">
        <v>418</v>
      </c>
      <c r="U5" s="685"/>
      <c r="V5" s="203"/>
    </row>
    <row r="6" spans="1:22" ht="60" x14ac:dyDescent="0.3">
      <c r="A6" s="165" t="s">
        <v>31</v>
      </c>
      <c r="B6" s="165" t="s">
        <v>32</v>
      </c>
      <c r="C6" s="284" t="s">
        <v>436</v>
      </c>
      <c r="D6" s="284" t="s">
        <v>440</v>
      </c>
      <c r="E6" s="284" t="s">
        <v>437</v>
      </c>
      <c r="F6" s="284" t="s">
        <v>441</v>
      </c>
      <c r="G6" s="284" t="s">
        <v>438</v>
      </c>
      <c r="H6" s="284" t="s">
        <v>442</v>
      </c>
      <c r="I6" s="284" t="s">
        <v>439</v>
      </c>
      <c r="J6" s="284" t="s">
        <v>443</v>
      </c>
      <c r="K6" s="165" t="s">
        <v>31</v>
      </c>
      <c r="L6" s="165" t="s">
        <v>32</v>
      </c>
      <c r="M6" s="166" t="s">
        <v>217</v>
      </c>
      <c r="N6" s="166" t="s">
        <v>218</v>
      </c>
      <c r="O6" s="165" t="s">
        <v>219</v>
      </c>
      <c r="P6" s="283" t="s">
        <v>0</v>
      </c>
      <c r="Q6" s="740" t="s">
        <v>31</v>
      </c>
      <c r="R6" s="366" t="s">
        <v>32</v>
      </c>
      <c r="S6" s="36" t="s">
        <v>237</v>
      </c>
      <c r="T6" s="686" t="s">
        <v>48</v>
      </c>
      <c r="U6" s="686"/>
      <c r="V6" s="72"/>
    </row>
    <row r="7" spans="1:22" ht="21.6" x14ac:dyDescent="0.3">
      <c r="A7" s="352" t="s">
        <v>12</v>
      </c>
      <c r="B7" s="289" t="s">
        <v>193</v>
      </c>
      <c r="C7" s="99">
        <v>240000000</v>
      </c>
      <c r="D7" s="99">
        <v>240000000</v>
      </c>
      <c r="E7" s="96">
        <v>0</v>
      </c>
      <c r="F7" s="96">
        <v>0</v>
      </c>
      <c r="G7" s="96">
        <v>0</v>
      </c>
      <c r="H7" s="96">
        <v>0</v>
      </c>
      <c r="I7" s="100">
        <f t="shared" ref="I7:J18" si="0">C7+E7+G7</f>
        <v>240000000</v>
      </c>
      <c r="J7" s="100">
        <f t="shared" si="0"/>
        <v>240000000</v>
      </c>
      <c r="K7" s="121" t="s">
        <v>12</v>
      </c>
      <c r="L7" s="38" t="s">
        <v>230</v>
      </c>
      <c r="M7" s="180">
        <v>0</v>
      </c>
      <c r="N7" s="177">
        <v>0</v>
      </c>
      <c r="O7" s="177">
        <v>0</v>
      </c>
      <c r="P7" s="177">
        <v>0</v>
      </c>
      <c r="Q7" s="741" t="s">
        <v>12</v>
      </c>
      <c r="R7" s="188" t="s">
        <v>411</v>
      </c>
      <c r="S7" s="180">
        <v>9400</v>
      </c>
      <c r="T7" s="686"/>
      <c r="U7" s="686"/>
    </row>
    <row r="8" spans="1:22" ht="21.6" x14ac:dyDescent="0.3">
      <c r="A8" s="352" t="s">
        <v>13</v>
      </c>
      <c r="B8" s="289" t="s">
        <v>194</v>
      </c>
      <c r="C8" s="96">
        <v>1272000</v>
      </c>
      <c r="D8" s="96">
        <v>1272000</v>
      </c>
      <c r="E8" s="96">
        <v>0</v>
      </c>
      <c r="F8" s="96">
        <v>0</v>
      </c>
      <c r="G8" s="96">
        <v>0</v>
      </c>
      <c r="H8" s="96">
        <v>0</v>
      </c>
      <c r="I8" s="100">
        <f t="shared" si="0"/>
        <v>1272000</v>
      </c>
      <c r="J8" s="100">
        <f t="shared" si="0"/>
        <v>1272000</v>
      </c>
      <c r="K8" s="40" t="s">
        <v>60</v>
      </c>
      <c r="L8" s="175" t="s">
        <v>232</v>
      </c>
      <c r="M8" s="293">
        <v>0</v>
      </c>
      <c r="N8" s="182">
        <v>0</v>
      </c>
      <c r="O8" s="182">
        <v>0</v>
      </c>
      <c r="P8" s="177">
        <v>0</v>
      </c>
      <c r="Q8" s="741" t="s">
        <v>13</v>
      </c>
      <c r="R8" s="188" t="s">
        <v>238</v>
      </c>
      <c r="S8" s="180">
        <f>S9+S10</f>
        <v>7600</v>
      </c>
      <c r="T8" s="686"/>
      <c r="U8" s="686"/>
    </row>
    <row r="9" spans="1:22" ht="21.6" x14ac:dyDescent="0.3">
      <c r="A9" s="352" t="s">
        <v>14</v>
      </c>
      <c r="B9" s="289" t="s">
        <v>34</v>
      </c>
      <c r="C9" s="99">
        <v>0</v>
      </c>
      <c r="D9" s="96">
        <v>0</v>
      </c>
      <c r="E9" s="99">
        <v>1600000</v>
      </c>
      <c r="F9" s="99">
        <v>0</v>
      </c>
      <c r="G9" s="99">
        <v>0</v>
      </c>
      <c r="H9" s="99">
        <v>0</v>
      </c>
      <c r="I9" s="100">
        <f t="shared" si="0"/>
        <v>1600000</v>
      </c>
      <c r="J9" s="100">
        <f t="shared" si="0"/>
        <v>0</v>
      </c>
      <c r="K9" s="40" t="s">
        <v>61</v>
      </c>
      <c r="L9" s="175" t="s">
        <v>231</v>
      </c>
      <c r="M9" s="293">
        <v>0</v>
      </c>
      <c r="N9" s="182">
        <v>0</v>
      </c>
      <c r="O9" s="182">
        <v>0</v>
      </c>
      <c r="P9" s="177">
        <v>0</v>
      </c>
      <c r="Q9" s="742" t="s">
        <v>55</v>
      </c>
      <c r="R9" s="175" t="s">
        <v>239</v>
      </c>
      <c r="S9" s="182">
        <v>7000</v>
      </c>
      <c r="T9" s="686"/>
      <c r="U9" s="686"/>
    </row>
    <row r="10" spans="1:22" ht="21.6" x14ac:dyDescent="0.3">
      <c r="A10" s="352" t="s">
        <v>15</v>
      </c>
      <c r="B10" s="289" t="s">
        <v>228</v>
      </c>
      <c r="C10" s="99"/>
      <c r="D10" s="99"/>
      <c r="E10" s="99">
        <v>3000000</v>
      </c>
      <c r="F10" s="99">
        <v>3000000</v>
      </c>
      <c r="G10" s="96"/>
      <c r="H10" s="96"/>
      <c r="I10" s="100">
        <f t="shared" si="0"/>
        <v>3000000</v>
      </c>
      <c r="J10" s="100">
        <f t="shared" si="0"/>
        <v>3000000</v>
      </c>
      <c r="K10" s="40" t="s">
        <v>62</v>
      </c>
      <c r="L10" s="175" t="s">
        <v>233</v>
      </c>
      <c r="M10" s="293">
        <v>0</v>
      </c>
      <c r="N10" s="182">
        <v>0</v>
      </c>
      <c r="O10" s="182">
        <v>0</v>
      </c>
      <c r="P10" s="177">
        <v>0</v>
      </c>
      <c r="Q10" s="742" t="s">
        <v>56</v>
      </c>
      <c r="R10" s="178" t="s">
        <v>215</v>
      </c>
      <c r="S10" s="182">
        <v>600</v>
      </c>
      <c r="T10" s="686"/>
      <c r="U10" s="686"/>
    </row>
    <row r="11" spans="1:22" ht="21.6" x14ac:dyDescent="0.3">
      <c r="A11" s="352" t="s">
        <v>16</v>
      </c>
      <c r="B11" s="289" t="s">
        <v>221</v>
      </c>
      <c r="C11" s="99">
        <v>0</v>
      </c>
      <c r="D11" s="99">
        <v>0</v>
      </c>
      <c r="E11" s="99">
        <v>4000000</v>
      </c>
      <c r="F11" s="99">
        <v>0</v>
      </c>
      <c r="G11" s="96">
        <v>0</v>
      </c>
      <c r="H11" s="96">
        <v>0</v>
      </c>
      <c r="I11" s="100">
        <f t="shared" si="0"/>
        <v>4000000</v>
      </c>
      <c r="J11" s="100">
        <f t="shared" si="0"/>
        <v>0</v>
      </c>
      <c r="K11" s="40" t="s">
        <v>63</v>
      </c>
      <c r="L11" s="175" t="s">
        <v>234</v>
      </c>
      <c r="M11" s="293">
        <v>0</v>
      </c>
      <c r="N11" s="182">
        <v>0</v>
      </c>
      <c r="O11" s="182">
        <v>0</v>
      </c>
      <c r="P11" s="177">
        <v>0</v>
      </c>
      <c r="Q11" s="742" t="s">
        <v>14</v>
      </c>
      <c r="R11" s="188" t="s">
        <v>240</v>
      </c>
      <c r="S11" s="177">
        <f>S7+S8</f>
        <v>17000</v>
      </c>
      <c r="T11" s="686"/>
      <c r="U11" s="686"/>
    </row>
    <row r="12" spans="1:22" x14ac:dyDescent="0.3">
      <c r="A12" s="352" t="s">
        <v>17</v>
      </c>
      <c r="B12" s="289" t="s">
        <v>359</v>
      </c>
      <c r="C12" s="99">
        <v>0</v>
      </c>
      <c r="D12" s="99">
        <v>0</v>
      </c>
      <c r="E12" s="99">
        <v>1200000</v>
      </c>
      <c r="F12" s="99">
        <v>1200000</v>
      </c>
      <c r="G12" s="99">
        <v>0</v>
      </c>
      <c r="H12" s="99">
        <v>0</v>
      </c>
      <c r="I12" s="100">
        <f t="shared" si="0"/>
        <v>1200000</v>
      </c>
      <c r="J12" s="100">
        <f t="shared" si="0"/>
        <v>1200000</v>
      </c>
      <c r="K12" s="121" t="s">
        <v>13</v>
      </c>
      <c r="L12" s="188" t="s">
        <v>58</v>
      </c>
      <c r="M12" s="177">
        <f>SUM(M13:M15)</f>
        <v>313444</v>
      </c>
      <c r="N12" s="177">
        <v>0</v>
      </c>
      <c r="O12" s="177">
        <v>0</v>
      </c>
      <c r="P12" s="177">
        <f t="shared" ref="P12:P18" si="1">SUM(M12:O12)</f>
        <v>313444</v>
      </c>
      <c r="Q12" s="126"/>
      <c r="R12" s="50"/>
      <c r="S12" s="59"/>
      <c r="T12" s="684"/>
      <c r="U12" s="684"/>
    </row>
    <row r="13" spans="1:22" ht="20.7" customHeight="1" x14ac:dyDescent="0.3">
      <c r="A13" s="352" t="s">
        <v>18</v>
      </c>
      <c r="B13" s="289" t="s">
        <v>321</v>
      </c>
      <c r="C13" s="289"/>
      <c r="D13" s="289"/>
      <c r="E13" s="99">
        <v>200000</v>
      </c>
      <c r="F13" s="99">
        <v>200000</v>
      </c>
      <c r="G13" s="289"/>
      <c r="H13" s="289"/>
      <c r="I13" s="100">
        <f t="shared" si="0"/>
        <v>200000</v>
      </c>
      <c r="J13" s="100">
        <f t="shared" si="0"/>
        <v>200000</v>
      </c>
      <c r="K13" s="40" t="s">
        <v>55</v>
      </c>
      <c r="L13" s="175" t="s">
        <v>415</v>
      </c>
      <c r="M13" s="177">
        <v>5078</v>
      </c>
      <c r="N13" s="182">
        <v>0</v>
      </c>
      <c r="O13" s="182">
        <v>0</v>
      </c>
      <c r="P13" s="177">
        <f t="shared" si="1"/>
        <v>5078</v>
      </c>
      <c r="Q13" s="72"/>
      <c r="R13" s="72"/>
      <c r="S13" s="72"/>
      <c r="T13" s="687"/>
      <c r="U13" s="687"/>
    </row>
    <row r="14" spans="1:22" x14ac:dyDescent="0.3">
      <c r="A14" s="352" t="s">
        <v>19</v>
      </c>
      <c r="B14" s="289" t="s">
        <v>360</v>
      </c>
      <c r="C14" s="289"/>
      <c r="D14" s="289"/>
      <c r="E14" s="99">
        <v>164000</v>
      </c>
      <c r="F14" s="99">
        <v>164000</v>
      </c>
      <c r="G14" s="289"/>
      <c r="H14" s="289"/>
      <c r="I14" s="100">
        <f t="shared" si="0"/>
        <v>164000</v>
      </c>
      <c r="J14" s="100">
        <f t="shared" si="0"/>
        <v>164000</v>
      </c>
      <c r="K14" s="40" t="s">
        <v>56</v>
      </c>
      <c r="L14" s="178" t="s">
        <v>59</v>
      </c>
      <c r="M14" s="177">
        <v>299208</v>
      </c>
      <c r="N14" s="182">
        <v>0</v>
      </c>
      <c r="O14" s="182">
        <v>0</v>
      </c>
      <c r="P14" s="177">
        <f t="shared" si="1"/>
        <v>299208</v>
      </c>
      <c r="Q14" s="72"/>
      <c r="R14" s="72"/>
      <c r="S14" s="72"/>
      <c r="T14" s="684"/>
      <c r="U14" s="684"/>
    </row>
    <row r="15" spans="1:22" x14ac:dyDescent="0.3">
      <c r="A15" s="352" t="s">
        <v>20</v>
      </c>
      <c r="B15" s="289" t="s">
        <v>362</v>
      </c>
      <c r="C15" s="289"/>
      <c r="D15" s="289"/>
      <c r="E15" s="99">
        <v>27000000</v>
      </c>
      <c r="F15" s="99">
        <v>27000000</v>
      </c>
      <c r="G15" s="289"/>
      <c r="H15" s="289"/>
      <c r="I15" s="100">
        <f t="shared" si="0"/>
        <v>27000000</v>
      </c>
      <c r="J15" s="100">
        <f t="shared" si="0"/>
        <v>27000000</v>
      </c>
      <c r="K15" s="40" t="s">
        <v>65</v>
      </c>
      <c r="L15" s="178" t="s">
        <v>195</v>
      </c>
      <c r="M15" s="177">
        <v>9158</v>
      </c>
      <c r="N15" s="182">
        <v>0</v>
      </c>
      <c r="O15" s="182">
        <v>0</v>
      </c>
      <c r="P15" s="177">
        <f t="shared" si="1"/>
        <v>9158</v>
      </c>
      <c r="Q15" s="72"/>
      <c r="R15" s="72"/>
      <c r="S15" s="72"/>
      <c r="T15" s="684"/>
      <c r="U15" s="684"/>
    </row>
    <row r="16" spans="1:22" x14ac:dyDescent="0.3">
      <c r="A16" s="352" t="s">
        <v>21</v>
      </c>
      <c r="B16" s="289" t="s">
        <v>363</v>
      </c>
      <c r="C16" s="289"/>
      <c r="D16" s="289"/>
      <c r="E16" s="99">
        <v>12192000</v>
      </c>
      <c r="F16" s="99">
        <v>12192000</v>
      </c>
      <c r="G16" s="289"/>
      <c r="H16" s="289"/>
      <c r="I16" s="100">
        <f t="shared" si="0"/>
        <v>12192000</v>
      </c>
      <c r="J16" s="100">
        <f t="shared" si="0"/>
        <v>12192000</v>
      </c>
      <c r="K16" s="121" t="s">
        <v>14</v>
      </c>
      <c r="L16" s="38" t="s">
        <v>3</v>
      </c>
      <c r="M16" s="177">
        <v>5025</v>
      </c>
      <c r="N16" s="177">
        <v>0</v>
      </c>
      <c r="O16" s="177">
        <v>0</v>
      </c>
      <c r="P16" s="177">
        <f t="shared" si="1"/>
        <v>5025</v>
      </c>
      <c r="Q16" s="72"/>
      <c r="R16" s="72"/>
      <c r="S16" s="72"/>
      <c r="T16" s="684"/>
      <c r="U16" s="684"/>
    </row>
    <row r="17" spans="1:21" x14ac:dyDescent="0.3">
      <c r="A17" s="352"/>
      <c r="B17" s="289"/>
      <c r="C17" s="289"/>
      <c r="D17" s="289"/>
      <c r="E17" s="99"/>
      <c r="F17" s="99"/>
      <c r="G17" s="289"/>
      <c r="H17" s="289"/>
      <c r="I17" s="100"/>
      <c r="J17" s="100"/>
      <c r="K17" s="40" t="s">
        <v>57</v>
      </c>
      <c r="L17" s="140" t="s">
        <v>196</v>
      </c>
      <c r="M17" s="177">
        <v>5025</v>
      </c>
      <c r="N17" s="182">
        <v>0</v>
      </c>
      <c r="O17" s="182">
        <v>0</v>
      </c>
      <c r="P17" s="177">
        <f t="shared" si="1"/>
        <v>5025</v>
      </c>
      <c r="Q17" s="126"/>
      <c r="R17" s="55"/>
      <c r="S17" s="74"/>
      <c r="T17" s="74"/>
      <c r="U17" s="50"/>
    </row>
    <row r="18" spans="1:21" x14ac:dyDescent="0.3">
      <c r="A18" s="352" t="s">
        <v>22</v>
      </c>
      <c r="B18" s="291" t="s">
        <v>0</v>
      </c>
      <c r="C18" s="100">
        <f>SUM(C7:C12)</f>
        <v>241272000</v>
      </c>
      <c r="D18" s="100">
        <f>SUM(D7:D12)</f>
        <v>241272000</v>
      </c>
      <c r="E18" s="100">
        <f>SUM(E7:E16)</f>
        <v>49356000</v>
      </c>
      <c r="F18" s="100">
        <f>SUM(F7:F16)</f>
        <v>43756000</v>
      </c>
      <c r="G18" s="100">
        <f>SUM(G7:G12)</f>
        <v>0</v>
      </c>
      <c r="H18" s="100">
        <f>SUM(H7:H12)</f>
        <v>0</v>
      </c>
      <c r="I18" s="100">
        <f t="shared" si="0"/>
        <v>290628000</v>
      </c>
      <c r="J18" s="100">
        <f t="shared" si="0"/>
        <v>285028000</v>
      </c>
      <c r="K18" s="183" t="s">
        <v>15</v>
      </c>
      <c r="L18" s="179" t="s">
        <v>0</v>
      </c>
      <c r="M18" s="177">
        <v>314469</v>
      </c>
      <c r="N18" s="177">
        <v>0</v>
      </c>
      <c r="O18" s="177">
        <v>0</v>
      </c>
      <c r="P18" s="177">
        <f t="shared" si="1"/>
        <v>314469</v>
      </c>
      <c r="Q18" s="198"/>
      <c r="R18" s="199"/>
      <c r="S18" s="75"/>
      <c r="T18" s="200"/>
      <c r="U18" s="50"/>
    </row>
    <row r="19" spans="1:21" ht="14.4" x14ac:dyDescent="0.3">
      <c r="A19" s="72"/>
      <c r="B19" s="173"/>
      <c r="C19" s="173"/>
      <c r="D19" s="173"/>
      <c r="E19" s="50"/>
      <c r="F19" s="50"/>
      <c r="G19" s="72"/>
      <c r="H19" s="72"/>
      <c r="I19" s="72"/>
      <c r="J19" s="72"/>
      <c r="Q19" s="126"/>
      <c r="R19" s="50"/>
      <c r="S19" s="74"/>
      <c r="T19" s="50"/>
      <c r="U19" s="50"/>
    </row>
    <row r="20" spans="1:21" ht="14.7" customHeight="1" x14ac:dyDescent="0.3">
      <c r="A20" s="72"/>
      <c r="B20" s="173"/>
      <c r="C20" s="173"/>
      <c r="D20" s="173"/>
      <c r="E20" s="50"/>
      <c r="F20" s="50"/>
      <c r="G20" s="72"/>
      <c r="H20" s="72"/>
      <c r="I20" s="72"/>
      <c r="J20" s="72"/>
      <c r="Q20" s="126"/>
      <c r="R20" s="50"/>
      <c r="S20" s="74"/>
      <c r="T20" s="74"/>
      <c r="U20" s="50"/>
    </row>
    <row r="21" spans="1:21" ht="13.2" customHeight="1" x14ac:dyDescent="0.3">
      <c r="A21" s="72"/>
      <c r="B21" s="173"/>
      <c r="C21" s="173"/>
      <c r="D21" s="173"/>
      <c r="E21" s="50"/>
      <c r="F21" s="50"/>
      <c r="G21" s="72"/>
      <c r="H21" s="643" t="s">
        <v>530</v>
      </c>
      <c r="I21" s="643"/>
      <c r="J21" s="643"/>
      <c r="Q21" s="126"/>
      <c r="R21" s="50"/>
      <c r="S21" s="74"/>
      <c r="T21" s="50"/>
      <c r="U21" s="50"/>
    </row>
    <row r="22" spans="1:21" ht="14.4" customHeight="1" x14ac:dyDescent="0.3">
      <c r="B22" s="639" t="s">
        <v>556</v>
      </c>
      <c r="C22" s="681" t="s">
        <v>361</v>
      </c>
      <c r="D22" s="681"/>
      <c r="E22" s="681"/>
      <c r="F22" s="681"/>
      <c r="H22" s="643"/>
      <c r="I22" s="643"/>
      <c r="J22" s="643"/>
      <c r="Q22" s="126"/>
      <c r="R22" s="50"/>
      <c r="S22" s="74"/>
      <c r="T22" s="50"/>
      <c r="U22" s="50"/>
    </row>
    <row r="23" spans="1:21" ht="14.4" x14ac:dyDescent="0.3">
      <c r="A23" s="634"/>
      <c r="B23" s="634"/>
      <c r="C23" s="681"/>
      <c r="D23" s="681"/>
      <c r="E23" s="681"/>
      <c r="F23" s="681"/>
      <c r="G23" s="223"/>
      <c r="H23" s="223"/>
      <c r="I23" s="223"/>
      <c r="J23" s="416"/>
      <c r="Q23" s="198"/>
      <c r="R23" s="199"/>
      <c r="S23" s="75"/>
      <c r="T23" s="75"/>
      <c r="U23" s="74"/>
    </row>
    <row r="24" spans="1:21" ht="14.4" x14ac:dyDescent="0.3">
      <c r="A24" s="221"/>
      <c r="B24" s="221"/>
      <c r="C24" s="101"/>
      <c r="D24" s="101"/>
      <c r="E24" s="277"/>
      <c r="F24" s="422"/>
      <c r="G24" s="223"/>
      <c r="H24" s="223"/>
      <c r="I24" s="223"/>
      <c r="J24" s="416"/>
      <c r="Q24" s="126"/>
      <c r="R24" s="55"/>
      <c r="S24" s="74"/>
      <c r="T24" s="50"/>
      <c r="U24" s="50"/>
    </row>
    <row r="25" spans="1:21" ht="14.4" x14ac:dyDescent="0.3">
      <c r="A25" s="276"/>
      <c r="B25" s="276"/>
      <c r="C25" s="69"/>
      <c r="D25" s="69"/>
      <c r="E25" s="55"/>
      <c r="F25" s="55"/>
      <c r="G25" s="647" t="s">
        <v>418</v>
      </c>
      <c r="H25" s="647"/>
      <c r="I25" s="648"/>
      <c r="J25" s="417"/>
      <c r="Q25" s="126"/>
      <c r="R25" s="50"/>
      <c r="S25" s="74"/>
      <c r="T25" s="50"/>
      <c r="U25" s="50"/>
    </row>
    <row r="26" spans="1:21" ht="60" x14ac:dyDescent="0.3">
      <c r="A26" s="165" t="s">
        <v>31</v>
      </c>
      <c r="B26" s="165" t="s">
        <v>32</v>
      </c>
      <c r="C26" s="284" t="s">
        <v>436</v>
      </c>
      <c r="D26" s="284" t="s">
        <v>440</v>
      </c>
      <c r="E26" s="284" t="s">
        <v>437</v>
      </c>
      <c r="F26" s="284" t="s">
        <v>441</v>
      </c>
      <c r="G26" s="284" t="s">
        <v>438</v>
      </c>
      <c r="H26" s="284" t="s">
        <v>442</v>
      </c>
      <c r="I26" s="284" t="s">
        <v>439</v>
      </c>
      <c r="J26" s="284" t="s">
        <v>443</v>
      </c>
      <c r="Q26" s="126"/>
      <c r="R26" s="50"/>
      <c r="S26" s="74"/>
      <c r="T26" s="50"/>
      <c r="U26" s="50"/>
    </row>
    <row r="27" spans="1:21" x14ac:dyDescent="0.3">
      <c r="A27" s="351" t="s">
        <v>12</v>
      </c>
      <c r="B27" s="342" t="s">
        <v>332</v>
      </c>
      <c r="C27" s="100">
        <f>SUM(C28:C31)</f>
        <v>237911000</v>
      </c>
      <c r="D27" s="100">
        <f>SUM(D28:D31)</f>
        <v>237911000</v>
      </c>
      <c r="E27" s="94">
        <v>0</v>
      </c>
      <c r="F27" s="94">
        <v>0</v>
      </c>
      <c r="G27" s="430">
        <v>0</v>
      </c>
      <c r="H27" s="430">
        <v>0</v>
      </c>
      <c r="I27" s="100">
        <f t="shared" ref="I27:J37" si="2">C27+E27+G27</f>
        <v>237911000</v>
      </c>
      <c r="J27" s="100">
        <f t="shared" si="2"/>
        <v>237911000</v>
      </c>
      <c r="Q27" s="201"/>
      <c r="R27" s="199"/>
      <c r="S27" s="199"/>
      <c r="T27" s="72"/>
      <c r="U27" s="72"/>
    </row>
    <row r="28" spans="1:21" x14ac:dyDescent="0.3">
      <c r="A28" s="344" t="s">
        <v>337</v>
      </c>
      <c r="B28" s="343" t="s">
        <v>333</v>
      </c>
      <c r="C28" s="340">
        <v>4507000</v>
      </c>
      <c r="D28" s="340">
        <v>4507000</v>
      </c>
      <c r="E28" s="345">
        <v>0</v>
      </c>
      <c r="F28" s="345">
        <v>0</v>
      </c>
      <c r="G28" s="431">
        <v>0</v>
      </c>
      <c r="H28" s="431">
        <v>0</v>
      </c>
      <c r="I28" s="341">
        <f t="shared" si="2"/>
        <v>4507000</v>
      </c>
      <c r="J28" s="341">
        <f t="shared" si="2"/>
        <v>4507000</v>
      </c>
      <c r="Q28" s="126"/>
      <c r="R28" s="50"/>
      <c r="S28" s="50"/>
      <c r="T28" s="72"/>
      <c r="U28" s="72"/>
    </row>
    <row r="29" spans="1:21" x14ac:dyDescent="0.3">
      <c r="A29" s="344" t="s">
        <v>338</v>
      </c>
      <c r="B29" s="343" t="s">
        <v>334</v>
      </c>
      <c r="C29" s="345">
        <v>7220000</v>
      </c>
      <c r="D29" s="345">
        <v>7220000</v>
      </c>
      <c r="E29" s="345">
        <v>0</v>
      </c>
      <c r="F29" s="345">
        <v>0</v>
      </c>
      <c r="G29" s="431">
        <v>0</v>
      </c>
      <c r="H29" s="431">
        <v>0</v>
      </c>
      <c r="I29" s="341">
        <f t="shared" si="2"/>
        <v>7220000</v>
      </c>
      <c r="J29" s="341">
        <f t="shared" si="2"/>
        <v>7220000</v>
      </c>
      <c r="Q29" s="126"/>
      <c r="R29" s="50"/>
      <c r="S29" s="50"/>
      <c r="T29" s="72"/>
      <c r="U29" s="72"/>
    </row>
    <row r="30" spans="1:21" x14ac:dyDescent="0.3">
      <c r="A30" s="344" t="s">
        <v>339</v>
      </c>
      <c r="B30" s="343" t="s">
        <v>335</v>
      </c>
      <c r="C30" s="340">
        <v>219251000</v>
      </c>
      <c r="D30" s="340">
        <v>219251000</v>
      </c>
      <c r="E30" s="340">
        <v>0</v>
      </c>
      <c r="F30" s="340">
        <v>0</v>
      </c>
      <c r="G30" s="339">
        <v>0</v>
      </c>
      <c r="H30" s="339">
        <v>0</v>
      </c>
      <c r="I30" s="341">
        <f t="shared" si="2"/>
        <v>219251000</v>
      </c>
      <c r="J30" s="341">
        <f t="shared" si="2"/>
        <v>219251000</v>
      </c>
      <c r="Q30" s="126"/>
      <c r="R30" s="50"/>
      <c r="S30" s="50"/>
      <c r="T30" s="72"/>
      <c r="U30" s="72"/>
    </row>
    <row r="31" spans="1:21" s="346" customFormat="1" x14ac:dyDescent="0.3">
      <c r="A31" s="344" t="s">
        <v>340</v>
      </c>
      <c r="B31" s="343" t="s">
        <v>336</v>
      </c>
      <c r="C31" s="340">
        <v>6933000</v>
      </c>
      <c r="D31" s="340">
        <v>6933000</v>
      </c>
      <c r="E31" s="340">
        <v>0</v>
      </c>
      <c r="F31" s="340">
        <v>0</v>
      </c>
      <c r="G31" s="431">
        <v>0</v>
      </c>
      <c r="H31" s="431">
        <v>0</v>
      </c>
      <c r="I31" s="341">
        <f t="shared" si="2"/>
        <v>6933000</v>
      </c>
      <c r="J31" s="341">
        <f t="shared" si="2"/>
        <v>6933000</v>
      </c>
      <c r="Q31" s="347"/>
      <c r="R31" s="348"/>
      <c r="S31" s="348"/>
      <c r="T31" s="348"/>
      <c r="U31" s="348"/>
    </row>
    <row r="32" spans="1:21" s="346" customFormat="1" x14ac:dyDescent="0.3">
      <c r="A32" s="33" t="s">
        <v>13</v>
      </c>
      <c r="B32" s="342" t="s">
        <v>324</v>
      </c>
      <c r="C32" s="100">
        <v>0</v>
      </c>
      <c r="D32" s="100">
        <v>0</v>
      </c>
      <c r="E32" s="100">
        <v>33500000</v>
      </c>
      <c r="F32" s="100">
        <v>33500000</v>
      </c>
      <c r="G32" s="430">
        <v>0</v>
      </c>
      <c r="H32" s="430">
        <v>0</v>
      </c>
      <c r="I32" s="100">
        <f t="shared" ref="I32:J35" si="3">C32+E32+G32</f>
        <v>33500000</v>
      </c>
      <c r="J32" s="100">
        <f t="shared" si="3"/>
        <v>33500000</v>
      </c>
      <c r="Q32" s="348"/>
      <c r="R32" s="349"/>
      <c r="S32" s="350"/>
      <c r="T32" s="350"/>
      <c r="U32" s="349"/>
    </row>
    <row r="33" spans="1:21" s="346" customFormat="1" x14ac:dyDescent="0.3">
      <c r="A33" s="344" t="s">
        <v>337</v>
      </c>
      <c r="B33" s="343" t="s">
        <v>325</v>
      </c>
      <c r="C33" s="339">
        <v>0</v>
      </c>
      <c r="D33" s="339">
        <v>0</v>
      </c>
      <c r="E33" s="339">
        <v>4000000</v>
      </c>
      <c r="F33" s="339">
        <v>4000000</v>
      </c>
      <c r="G33" s="339">
        <v>0</v>
      </c>
      <c r="H33" s="339">
        <v>0</v>
      </c>
      <c r="I33" s="341">
        <f t="shared" si="3"/>
        <v>4000000</v>
      </c>
      <c r="J33" s="341">
        <f t="shared" si="3"/>
        <v>4000000</v>
      </c>
      <c r="Q33" s="348"/>
      <c r="R33" s="349"/>
      <c r="S33" s="349"/>
      <c r="T33" s="349"/>
      <c r="U33" s="349"/>
    </row>
    <row r="34" spans="1:21" x14ac:dyDescent="0.3">
      <c r="A34" s="344" t="s">
        <v>338</v>
      </c>
      <c r="B34" s="343" t="s">
        <v>326</v>
      </c>
      <c r="C34" s="339">
        <v>0</v>
      </c>
      <c r="D34" s="339">
        <v>0</v>
      </c>
      <c r="E34" s="339">
        <v>2000000</v>
      </c>
      <c r="F34" s="339">
        <v>2000000</v>
      </c>
      <c r="G34" s="432">
        <v>0</v>
      </c>
      <c r="H34" s="432">
        <v>0</v>
      </c>
      <c r="I34" s="341">
        <f t="shared" si="3"/>
        <v>2000000</v>
      </c>
      <c r="J34" s="341">
        <f t="shared" si="3"/>
        <v>2000000</v>
      </c>
      <c r="Q34" s="72"/>
      <c r="R34" s="50"/>
      <c r="S34" s="57"/>
      <c r="T34" s="57"/>
      <c r="U34" s="50"/>
    </row>
    <row r="35" spans="1:21" x14ac:dyDescent="0.3">
      <c r="A35" s="344" t="s">
        <v>339</v>
      </c>
      <c r="B35" s="343" t="s">
        <v>331</v>
      </c>
      <c r="C35" s="339">
        <v>0</v>
      </c>
      <c r="D35" s="339">
        <v>0</v>
      </c>
      <c r="E35" s="339">
        <v>27500000</v>
      </c>
      <c r="F35" s="339">
        <v>27500000</v>
      </c>
      <c r="G35" s="432">
        <v>0</v>
      </c>
      <c r="H35" s="432">
        <v>0</v>
      </c>
      <c r="I35" s="341">
        <f t="shared" si="3"/>
        <v>27500000</v>
      </c>
      <c r="J35" s="341">
        <f t="shared" si="3"/>
        <v>27500000</v>
      </c>
      <c r="Q35" s="72"/>
      <c r="R35" s="50"/>
      <c r="S35" s="59"/>
      <c r="T35" s="59"/>
      <c r="U35" s="50"/>
    </row>
    <row r="36" spans="1:21" x14ac:dyDescent="0.3">
      <c r="A36" s="196" t="s">
        <v>364</v>
      </c>
      <c r="B36" s="342" t="s">
        <v>365</v>
      </c>
      <c r="C36" s="100">
        <v>6755000</v>
      </c>
      <c r="D36" s="100">
        <v>6755000</v>
      </c>
      <c r="E36" s="290">
        <v>0</v>
      </c>
      <c r="F36" s="290">
        <v>0</v>
      </c>
      <c r="G36" s="290">
        <v>0</v>
      </c>
      <c r="H36" s="290">
        <v>0</v>
      </c>
      <c r="I36" s="341">
        <f t="shared" si="2"/>
        <v>6755000</v>
      </c>
      <c r="J36" s="341">
        <f t="shared" si="2"/>
        <v>6755000</v>
      </c>
      <c r="Q36" s="72"/>
      <c r="R36" s="50"/>
      <c r="S36" s="59"/>
      <c r="T36" s="59"/>
      <c r="U36" s="50"/>
    </row>
    <row r="37" spans="1:21" x14ac:dyDescent="0.3">
      <c r="A37" s="344" t="s">
        <v>337</v>
      </c>
      <c r="B37" s="289" t="s">
        <v>366</v>
      </c>
      <c r="C37" s="339">
        <v>6755000</v>
      </c>
      <c r="D37" s="339">
        <v>6755000</v>
      </c>
      <c r="E37" s="290">
        <v>0</v>
      </c>
      <c r="F37" s="290">
        <v>0</v>
      </c>
      <c r="G37" s="290">
        <v>0</v>
      </c>
      <c r="H37" s="290">
        <v>0</v>
      </c>
      <c r="I37" s="100">
        <f t="shared" si="2"/>
        <v>6755000</v>
      </c>
      <c r="J37" s="100">
        <f t="shared" si="2"/>
        <v>6755000</v>
      </c>
      <c r="Q37" s="72"/>
      <c r="R37" s="50"/>
      <c r="S37" s="59"/>
      <c r="T37" s="59"/>
      <c r="U37" s="50"/>
    </row>
    <row r="38" spans="1:21" x14ac:dyDescent="0.3">
      <c r="A38" s="344" t="s">
        <v>15</v>
      </c>
      <c r="B38" s="289" t="s">
        <v>34</v>
      </c>
      <c r="C38" s="339">
        <v>0</v>
      </c>
      <c r="D38" s="339">
        <v>1600000</v>
      </c>
      <c r="E38" s="290">
        <v>0</v>
      </c>
      <c r="F38" s="339">
        <v>1600000</v>
      </c>
      <c r="G38" s="290">
        <v>0</v>
      </c>
      <c r="H38" s="290">
        <v>0</v>
      </c>
      <c r="I38" s="100">
        <f t="shared" ref="I38" si="4">C38+E38+G38</f>
        <v>0</v>
      </c>
      <c r="J38" s="100">
        <f t="shared" ref="J38" si="5">D38+F38+H38</f>
        <v>3200000</v>
      </c>
      <c r="Q38" s="72"/>
      <c r="R38" s="50"/>
      <c r="S38" s="57"/>
      <c r="T38" s="57"/>
      <c r="U38" s="50"/>
    </row>
    <row r="39" spans="1:21" x14ac:dyDescent="0.3">
      <c r="A39" s="196"/>
      <c r="B39" s="291" t="s">
        <v>0</v>
      </c>
      <c r="C39" s="100">
        <f>+C32+C27+C36+C38</f>
        <v>244666000</v>
      </c>
      <c r="D39" s="100">
        <f t="shared" ref="D39:J39" si="6">+D32+D27+D36+D38</f>
        <v>246266000</v>
      </c>
      <c r="E39" s="100">
        <f t="shared" si="6"/>
        <v>33500000</v>
      </c>
      <c r="F39" s="100">
        <f t="shared" si="6"/>
        <v>35100000</v>
      </c>
      <c r="G39" s="100">
        <f t="shared" si="6"/>
        <v>0</v>
      </c>
      <c r="H39" s="100">
        <f t="shared" si="6"/>
        <v>0</v>
      </c>
      <c r="I39" s="100">
        <f t="shared" si="6"/>
        <v>278166000</v>
      </c>
      <c r="J39" s="100">
        <f t="shared" si="6"/>
        <v>281366000</v>
      </c>
      <c r="Q39" s="72"/>
      <c r="R39" s="72"/>
      <c r="S39" s="72"/>
      <c r="T39" s="72"/>
      <c r="U39" s="72"/>
    </row>
    <row r="40" spans="1:21" ht="14.4" x14ac:dyDescent="0.3">
      <c r="A40" s="73"/>
      <c r="B40" s="73"/>
      <c r="C40" s="73"/>
      <c r="D40" s="73"/>
      <c r="E40" s="72"/>
      <c r="F40" s="72"/>
      <c r="G40" s="72"/>
      <c r="H40" s="72"/>
      <c r="I40" s="72"/>
      <c r="J40" s="72"/>
      <c r="Q40" s="72"/>
      <c r="R40" s="50"/>
      <c r="S40" s="202"/>
      <c r="T40" s="202"/>
      <c r="U40" s="72"/>
    </row>
    <row r="41" spans="1:21" x14ac:dyDescent="0.3">
      <c r="A41" s="72"/>
      <c r="B41" s="72"/>
      <c r="C41" s="72"/>
      <c r="D41" s="72"/>
      <c r="E41" s="72"/>
      <c r="F41" s="72"/>
      <c r="G41" s="72"/>
      <c r="H41" s="72"/>
      <c r="I41" s="72"/>
      <c r="J41" s="72"/>
      <c r="Q41" s="72"/>
      <c r="R41" s="72"/>
      <c r="S41" s="72"/>
      <c r="T41" s="202"/>
      <c r="U41" s="72"/>
    </row>
    <row r="42" spans="1:21" x14ac:dyDescent="0.3">
      <c r="Q42" s="72"/>
      <c r="R42" s="72"/>
      <c r="S42" s="72"/>
      <c r="T42" s="202"/>
      <c r="U42" s="72"/>
    </row>
    <row r="43" spans="1:21" x14ac:dyDescent="0.3">
      <c r="Q43" s="72"/>
      <c r="R43" s="72"/>
      <c r="S43" s="72"/>
      <c r="T43" s="72"/>
      <c r="U43" s="72"/>
    </row>
    <row r="44" spans="1:21" x14ac:dyDescent="0.3">
      <c r="Q44" s="72"/>
      <c r="R44" s="72"/>
      <c r="S44" s="72"/>
      <c r="T44" s="72"/>
      <c r="U44" s="72"/>
    </row>
    <row r="45" spans="1:21" x14ac:dyDescent="0.3">
      <c r="Q45" s="72"/>
      <c r="R45" s="72"/>
      <c r="S45" s="72"/>
      <c r="T45" s="72"/>
      <c r="U45" s="72"/>
    </row>
  </sheetData>
  <mergeCells count="23">
    <mergeCell ref="G25:I25"/>
    <mergeCell ref="T16:U16"/>
    <mergeCell ref="T5:U5"/>
    <mergeCell ref="T11:U11"/>
    <mergeCell ref="T12:U12"/>
    <mergeCell ref="T13:U13"/>
    <mergeCell ref="T14:U14"/>
    <mergeCell ref="T15:U15"/>
    <mergeCell ref="T6:U6"/>
    <mergeCell ref="T7:U7"/>
    <mergeCell ref="T8:U8"/>
    <mergeCell ref="T9:U9"/>
    <mergeCell ref="T10:U10"/>
    <mergeCell ref="H21:J22"/>
    <mergeCell ref="C22:F23"/>
    <mergeCell ref="C2:E2"/>
    <mergeCell ref="O5:P5"/>
    <mergeCell ref="G5:I5"/>
    <mergeCell ref="U1:V2"/>
    <mergeCell ref="N1:P2"/>
    <mergeCell ref="R3:T3"/>
    <mergeCell ref="H1:J2"/>
    <mergeCell ref="C3:F3"/>
  </mergeCells>
  <phoneticPr fontId="3" type="noConversion"/>
  <pageMargins left="0.36" right="0.56000000000000005" top="0.56999999999999995" bottom="0.78740157480314965" header="0.51181102362204722" footer="0.51181102362204722"/>
  <pageSetup paperSize="9" scale="69" orientation="portrait" r:id="rId1"/>
  <headerFooter alignWithMargins="0"/>
  <colBreaks count="2" manualBreakCount="2">
    <brk id="10" max="42" man="1"/>
    <brk id="16" max="42" man="1"/>
  </colBreaks>
  <ignoredErrors>
    <ignoredError sqref="C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E28"/>
  <sheetViews>
    <sheetView view="pageBreakPreview" zoomScale="90" zoomScaleNormal="80" zoomScaleSheetLayoutView="90" workbookViewId="0">
      <selection activeCell="A2" sqref="A2"/>
    </sheetView>
  </sheetViews>
  <sheetFormatPr defaultColWidth="9.33203125" defaultRowHeight="14.4" x14ac:dyDescent="0.3"/>
  <cols>
    <col min="1" max="1" width="7.33203125" style="15" customWidth="1"/>
    <col min="2" max="2" width="47.33203125" style="15" customWidth="1"/>
    <col min="3" max="3" width="16.33203125" style="15" customWidth="1"/>
    <col min="4" max="4" width="17.33203125" style="15" customWidth="1"/>
    <col min="5" max="10" width="9.33203125" style="15"/>
    <col min="11" max="12" width="17.44140625" style="15" bestFit="1" customWidth="1"/>
    <col min="13" max="16384" width="9.33203125" style="15"/>
  </cols>
  <sheetData>
    <row r="1" spans="1:5" x14ac:dyDescent="0.3">
      <c r="A1" s="14"/>
      <c r="D1" s="643" t="s">
        <v>533</v>
      </c>
      <c r="E1" s="663"/>
    </row>
    <row r="2" spans="1:5" ht="21.75" customHeight="1" x14ac:dyDescent="0.3">
      <c r="A2" s="640" t="s">
        <v>559</v>
      </c>
      <c r="C2" s="14"/>
      <c r="D2" s="663"/>
      <c r="E2" s="663"/>
    </row>
    <row r="3" spans="1:5" ht="15" customHeight="1" x14ac:dyDescent="0.3">
      <c r="A3" s="102"/>
      <c r="B3" s="665" t="s">
        <v>351</v>
      </c>
      <c r="C3" s="102"/>
      <c r="D3" s="663"/>
      <c r="E3" s="663"/>
    </row>
    <row r="4" spans="1:5" x14ac:dyDescent="0.3">
      <c r="A4" s="5"/>
      <c r="B4" s="688"/>
      <c r="C4" s="5"/>
    </row>
    <row r="5" spans="1:5" x14ac:dyDescent="0.3">
      <c r="A5" s="14"/>
      <c r="B5" s="14"/>
    </row>
    <row r="6" spans="1:5" s="16" customFormat="1" ht="56.25" customHeight="1" x14ac:dyDescent="0.3">
      <c r="A6" s="181" t="s">
        <v>31</v>
      </c>
      <c r="B6" s="181" t="s">
        <v>32</v>
      </c>
      <c r="C6" s="181" t="s">
        <v>420</v>
      </c>
      <c r="D6" s="181"/>
    </row>
    <row r="7" spans="1:5" x14ac:dyDescent="0.3">
      <c r="A7" s="176" t="s">
        <v>12</v>
      </c>
      <c r="B7" s="188" t="s">
        <v>66</v>
      </c>
      <c r="C7" s="189">
        <v>9.5</v>
      </c>
      <c r="D7" s="189"/>
    </row>
    <row r="8" spans="1:5" x14ac:dyDescent="0.3">
      <c r="A8" s="176"/>
      <c r="B8" s="184" t="s">
        <v>74</v>
      </c>
      <c r="C8" s="185">
        <v>1</v>
      </c>
      <c r="D8" s="185"/>
    </row>
    <row r="9" spans="1:5" x14ac:dyDescent="0.3">
      <c r="A9" s="366"/>
      <c r="B9" s="184" t="s">
        <v>371</v>
      </c>
      <c r="C9" s="185">
        <v>1</v>
      </c>
      <c r="D9" s="185"/>
    </row>
    <row r="10" spans="1:5" x14ac:dyDescent="0.3">
      <c r="A10" s="176"/>
      <c r="B10" s="184" t="s">
        <v>372</v>
      </c>
      <c r="C10" s="185">
        <v>7</v>
      </c>
      <c r="D10" s="178"/>
    </row>
    <row r="11" spans="1:5" x14ac:dyDescent="0.3">
      <c r="A11" s="176"/>
      <c r="B11" s="184" t="s">
        <v>73</v>
      </c>
      <c r="C11" s="185">
        <v>0.5</v>
      </c>
      <c r="D11" s="178"/>
    </row>
    <row r="12" spans="1:5" x14ac:dyDescent="0.3">
      <c r="A12" s="183" t="s">
        <v>13</v>
      </c>
      <c r="B12" s="188" t="s">
        <v>4</v>
      </c>
      <c r="C12" s="189">
        <v>61</v>
      </c>
      <c r="D12" s="180"/>
    </row>
    <row r="13" spans="1:5" x14ac:dyDescent="0.3">
      <c r="A13" s="183" t="s">
        <v>14</v>
      </c>
      <c r="B13" s="188" t="s">
        <v>67</v>
      </c>
      <c r="C13" s="189">
        <v>15</v>
      </c>
      <c r="D13" s="188"/>
    </row>
    <row r="14" spans="1:5" x14ac:dyDescent="0.3">
      <c r="A14" s="183" t="s">
        <v>15</v>
      </c>
      <c r="B14" s="188" t="s">
        <v>250</v>
      </c>
      <c r="C14" s="189">
        <v>42.5</v>
      </c>
      <c r="D14" s="188"/>
    </row>
    <row r="15" spans="1:5" x14ac:dyDescent="0.3">
      <c r="A15" s="183"/>
      <c r="B15" s="178" t="s">
        <v>70</v>
      </c>
      <c r="C15" s="185">
        <v>2</v>
      </c>
      <c r="D15" s="178"/>
    </row>
    <row r="16" spans="1:5" x14ac:dyDescent="0.3">
      <c r="A16" s="183" t="s">
        <v>16</v>
      </c>
      <c r="B16" s="188" t="s">
        <v>68</v>
      </c>
      <c r="C16" s="189">
        <v>30</v>
      </c>
      <c r="D16" s="188"/>
    </row>
    <row r="17" spans="1:4" x14ac:dyDescent="0.3">
      <c r="A17" s="183"/>
      <c r="B17" s="178" t="s">
        <v>70</v>
      </c>
      <c r="C17" s="185">
        <v>2</v>
      </c>
      <c r="D17" s="178"/>
    </row>
    <row r="18" spans="1:4" x14ac:dyDescent="0.3">
      <c r="A18" s="183" t="s">
        <v>17</v>
      </c>
      <c r="B18" s="188" t="s">
        <v>197</v>
      </c>
      <c r="C18" s="189">
        <v>5</v>
      </c>
      <c r="D18" s="188"/>
    </row>
    <row r="19" spans="1:4" x14ac:dyDescent="0.3">
      <c r="A19" s="183" t="s">
        <v>18</v>
      </c>
      <c r="B19" s="188" t="s">
        <v>69</v>
      </c>
      <c r="C19" s="189">
        <v>8</v>
      </c>
      <c r="D19" s="188"/>
    </row>
    <row r="20" spans="1:4" x14ac:dyDescent="0.3">
      <c r="A20" s="183">
        <v>8</v>
      </c>
      <c r="B20" s="188" t="s">
        <v>222</v>
      </c>
      <c r="C20" s="189">
        <v>30</v>
      </c>
      <c r="D20" s="188"/>
    </row>
    <row r="21" spans="1:4" x14ac:dyDescent="0.3">
      <c r="A21" s="176" t="s">
        <v>20</v>
      </c>
      <c r="B21" s="188" t="s">
        <v>373</v>
      </c>
      <c r="C21" s="189">
        <v>10.5</v>
      </c>
      <c r="D21" s="178"/>
    </row>
    <row r="22" spans="1:4" x14ac:dyDescent="0.3">
      <c r="A22" s="186"/>
      <c r="C22" s="395"/>
      <c r="D22" s="179"/>
    </row>
    <row r="23" spans="1:4" x14ac:dyDescent="0.3">
      <c r="A23" s="186"/>
      <c r="B23" s="179"/>
      <c r="C23" s="273"/>
      <c r="D23" s="187"/>
    </row>
    <row r="24" spans="1:4" x14ac:dyDescent="0.3">
      <c r="A24" s="76"/>
      <c r="B24" s="179"/>
      <c r="C24" s="273"/>
      <c r="D24" s="76"/>
    </row>
    <row r="25" spans="1:4" x14ac:dyDescent="0.3">
      <c r="A25" s="76"/>
      <c r="B25" s="187"/>
      <c r="C25" s="76"/>
      <c r="D25" s="76"/>
    </row>
    <row r="26" spans="1:4" x14ac:dyDescent="0.3">
      <c r="A26" s="76"/>
      <c r="B26" s="76"/>
      <c r="C26" s="76"/>
      <c r="D26" s="76"/>
    </row>
    <row r="27" spans="1:4" x14ac:dyDescent="0.3">
      <c r="A27" s="76"/>
      <c r="B27" s="76"/>
      <c r="C27" s="76"/>
      <c r="D27" s="76"/>
    </row>
    <row r="28" spans="1:4" x14ac:dyDescent="0.3">
      <c r="A28" s="76"/>
      <c r="B28" s="76"/>
      <c r="C28" s="76"/>
      <c r="D28" s="76"/>
    </row>
  </sheetData>
  <mergeCells count="2">
    <mergeCell ref="B3:B4"/>
    <mergeCell ref="D1:E3"/>
  </mergeCells>
  <phoneticPr fontId="3" type="noConversion"/>
  <pageMargins left="0.43" right="0.38" top="0.6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G15"/>
  <sheetViews>
    <sheetView view="pageBreakPreview" zoomScale="115" zoomScaleNormal="100" zoomScaleSheetLayoutView="115" workbookViewId="0">
      <selection activeCell="D1" sqref="D1:E3"/>
    </sheetView>
  </sheetViews>
  <sheetFormatPr defaultColWidth="9.33203125" defaultRowHeight="14.4" x14ac:dyDescent="0.3"/>
  <cols>
    <col min="1" max="1" width="8.33203125" style="15" customWidth="1"/>
    <col min="2" max="2" width="35.6640625" style="15" customWidth="1"/>
    <col min="3" max="3" width="20.44140625" style="15" customWidth="1"/>
    <col min="4" max="4" width="19.33203125" style="15" customWidth="1"/>
    <col min="5" max="5" width="20.33203125" style="15" customWidth="1"/>
    <col min="6" max="6" width="19.5546875" style="15" customWidth="1"/>
    <col min="7" max="7" width="12.33203125" style="15" customWidth="1"/>
    <col min="8" max="8" width="18.33203125" style="15" customWidth="1"/>
    <col min="9" max="13" width="9.33203125" style="15" customWidth="1"/>
    <col min="14" max="16384" width="9.33203125" style="15"/>
  </cols>
  <sheetData>
    <row r="1" spans="1:7" ht="14.4" customHeight="1" x14ac:dyDescent="0.3">
      <c r="A1" s="616" t="s">
        <v>560</v>
      </c>
      <c r="B1" s="641"/>
      <c r="D1" s="643" t="s">
        <v>534</v>
      </c>
      <c r="E1" s="663"/>
      <c r="F1" s="137"/>
      <c r="G1" s="137"/>
    </row>
    <row r="2" spans="1:7" ht="27.6" customHeight="1" x14ac:dyDescent="0.3">
      <c r="A2" s="105"/>
      <c r="B2" s="646" t="s">
        <v>78</v>
      </c>
      <c r="C2" s="646"/>
      <c r="D2" s="663"/>
      <c r="E2" s="663"/>
      <c r="F2" s="137"/>
      <c r="G2" s="137"/>
    </row>
    <row r="3" spans="1:7" x14ac:dyDescent="0.3">
      <c r="A3" s="106"/>
      <c r="B3" s="691" t="s">
        <v>79</v>
      </c>
      <c r="C3" s="691"/>
      <c r="D3" s="663"/>
      <c r="E3" s="663"/>
      <c r="F3" s="137"/>
      <c r="G3" s="137"/>
    </row>
    <row r="4" spans="1:7" x14ac:dyDescent="0.3">
      <c r="A4" s="106"/>
      <c r="B4" s="106"/>
      <c r="C4" s="106"/>
      <c r="D4" s="107"/>
      <c r="E4" s="107"/>
      <c r="F4" s="107"/>
      <c r="G4" s="107"/>
    </row>
    <row r="5" spans="1:7" x14ac:dyDescent="0.3">
      <c r="A5" s="105"/>
      <c r="B5" s="105"/>
      <c r="C5" s="103"/>
      <c r="D5" s="64" t="s">
        <v>418</v>
      </c>
      <c r="F5" s="108"/>
      <c r="G5" s="108"/>
    </row>
    <row r="6" spans="1:7" ht="48" x14ac:dyDescent="0.3">
      <c r="A6" s="165" t="s">
        <v>31</v>
      </c>
      <c r="B6" s="165" t="s">
        <v>32</v>
      </c>
      <c r="C6" s="317" t="s">
        <v>318</v>
      </c>
      <c r="D6" s="317" t="s">
        <v>319</v>
      </c>
      <c r="F6" s="138"/>
    </row>
    <row r="7" spans="1:7" ht="14.25" customHeight="1" x14ac:dyDescent="0.3">
      <c r="A7" s="20"/>
      <c r="B7" s="22" t="s">
        <v>374</v>
      </c>
      <c r="C7" s="180">
        <f>SUM(C8:C12)</f>
        <v>150000000</v>
      </c>
      <c r="D7" s="180">
        <v>0</v>
      </c>
      <c r="E7" s="138"/>
      <c r="F7" s="138"/>
    </row>
    <row r="8" spans="1:7" x14ac:dyDescent="0.3">
      <c r="A8" s="20"/>
      <c r="B8" s="43" t="s">
        <v>5</v>
      </c>
      <c r="C8" s="319">
        <v>150000000</v>
      </c>
      <c r="D8" s="319">
        <v>106500000</v>
      </c>
      <c r="E8" s="138"/>
      <c r="F8" s="138"/>
    </row>
    <row r="9" spans="1:7" x14ac:dyDescent="0.3">
      <c r="A9" s="20"/>
      <c r="B9" s="43" t="s">
        <v>343</v>
      </c>
      <c r="C9" s="279">
        <v>0</v>
      </c>
      <c r="D9" s="319">
        <v>0</v>
      </c>
      <c r="E9" s="138"/>
      <c r="F9" s="138"/>
    </row>
    <row r="10" spans="1:7" x14ac:dyDescent="0.3">
      <c r="A10" s="296"/>
      <c r="B10" s="184" t="s">
        <v>342</v>
      </c>
      <c r="C10" s="293">
        <v>0</v>
      </c>
      <c r="D10" s="319">
        <v>106500000</v>
      </c>
      <c r="E10" s="295"/>
      <c r="F10" s="295"/>
    </row>
    <row r="11" spans="1:7" x14ac:dyDescent="0.3">
      <c r="A11" s="20"/>
      <c r="B11" s="109" t="s">
        <v>375</v>
      </c>
      <c r="C11" s="180">
        <v>0</v>
      </c>
      <c r="D11" s="294"/>
      <c r="E11" s="138"/>
      <c r="F11" s="138"/>
    </row>
    <row r="12" spans="1:7" x14ac:dyDescent="0.3">
      <c r="A12" s="88"/>
      <c r="B12" s="43" t="s">
        <v>77</v>
      </c>
      <c r="C12" s="279"/>
      <c r="D12" s="319"/>
      <c r="E12" s="138"/>
      <c r="F12" s="138"/>
    </row>
    <row r="13" spans="1:7" x14ac:dyDescent="0.3">
      <c r="A13" s="20"/>
      <c r="B13" s="109" t="s">
        <v>377</v>
      </c>
      <c r="C13" s="689" t="s">
        <v>376</v>
      </c>
      <c r="D13" s="180">
        <f>SUM(D14)</f>
        <v>60000000</v>
      </c>
      <c r="E13" s="138"/>
      <c r="F13" s="138"/>
    </row>
    <row r="14" spans="1:7" x14ac:dyDescent="0.3">
      <c r="A14" s="20"/>
      <c r="B14" s="43" t="s">
        <v>378</v>
      </c>
      <c r="C14" s="690"/>
      <c r="D14" s="318">
        <v>60000000</v>
      </c>
      <c r="E14" s="138"/>
      <c r="F14" s="138"/>
    </row>
    <row r="15" spans="1:7" ht="14.25" customHeight="1" x14ac:dyDescent="0.3">
      <c r="A15" s="20"/>
      <c r="B15" s="22"/>
      <c r="C15" s="196"/>
      <c r="D15" s="134"/>
      <c r="E15" s="138"/>
      <c r="F15" s="138"/>
    </row>
  </sheetData>
  <mergeCells count="4">
    <mergeCell ref="D1:E3"/>
    <mergeCell ref="C13:C14"/>
    <mergeCell ref="B2:C2"/>
    <mergeCell ref="B3:C3"/>
  </mergeCells>
  <phoneticPr fontId="3" type="noConversion"/>
  <pageMargins left="0.56999999999999995" right="0.84" top="1" bottom="1" header="0.5" footer="0.5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L52"/>
  <sheetViews>
    <sheetView tabSelected="1" view="pageBreakPreview" topLeftCell="A7" zoomScale="115" zoomScaleNormal="100" zoomScaleSheetLayoutView="115" zoomScalePageLayoutView="80" workbookViewId="0">
      <selection activeCell="U1" sqref="U1"/>
    </sheetView>
  </sheetViews>
  <sheetFormatPr defaultColWidth="9.33203125" defaultRowHeight="14.4" x14ac:dyDescent="0.3"/>
  <cols>
    <col min="1" max="1" width="4.44140625" style="15" customWidth="1"/>
    <col min="2" max="2" width="23.6640625" style="15" customWidth="1"/>
    <col min="3" max="3" width="9.6640625" style="15" customWidth="1"/>
    <col min="4" max="4" width="9.44140625" style="15" customWidth="1"/>
    <col min="5" max="6" width="8.44140625" style="15" customWidth="1"/>
    <col min="7" max="7" width="6.5546875" style="15" customWidth="1"/>
    <col min="8" max="8" width="7.44140625" style="15" customWidth="1"/>
    <col min="9" max="9" width="9.44140625" style="220" customWidth="1"/>
    <col min="10" max="10" width="9.5546875" style="220" customWidth="1"/>
    <col min="11" max="11" width="24.88671875" style="15" customWidth="1"/>
    <col min="12" max="12" width="10.33203125" style="15" customWidth="1"/>
    <col min="13" max="13" width="9.109375" style="15" customWidth="1"/>
    <col min="14" max="15" width="8.33203125" style="15" customWidth="1"/>
    <col min="16" max="16" width="6.88671875" style="15" customWidth="1"/>
    <col min="17" max="17" width="7.44140625" style="15" customWidth="1"/>
    <col min="18" max="18" width="9.88671875" style="220" customWidth="1"/>
    <col min="19" max="19" width="9.44140625" style="220" customWidth="1"/>
    <col min="20" max="20" width="4.6640625" style="15" customWidth="1"/>
    <col min="21" max="21" width="27.5546875" style="15" customWidth="1"/>
    <col min="22" max="22" width="9.109375" style="15" customWidth="1"/>
    <col min="23" max="23" width="9.33203125" style="15" customWidth="1"/>
    <col min="24" max="27" width="7.44140625" style="15" customWidth="1"/>
    <col min="28" max="28" width="9.44140625" style="220" customWidth="1"/>
    <col min="29" max="29" width="9.6640625" style="220" customWidth="1"/>
    <col min="30" max="30" width="23.6640625" style="15" customWidth="1"/>
    <col min="31" max="31" width="9.44140625" style="15" customWidth="1"/>
    <col min="32" max="32" width="9.109375" style="15" customWidth="1"/>
    <col min="33" max="36" width="7.44140625" style="15" customWidth="1"/>
    <col min="37" max="37" width="11.109375" style="15" customWidth="1"/>
    <col min="38" max="38" width="10.88671875" style="15" bestFit="1" customWidth="1"/>
    <col min="39" max="16384" width="9.33203125" style="15"/>
  </cols>
  <sheetData>
    <row r="1" spans="1:38" s="540" customFormat="1" ht="17.25" customHeight="1" x14ac:dyDescent="0.3">
      <c r="A1" s="539"/>
      <c r="B1" s="642" t="s">
        <v>561</v>
      </c>
      <c r="C1" s="539"/>
      <c r="D1" s="539"/>
      <c r="E1" s="539"/>
      <c r="F1" s="539"/>
      <c r="G1" s="539"/>
      <c r="H1" s="539"/>
      <c r="I1" s="570"/>
      <c r="J1" s="570"/>
      <c r="K1" s="539"/>
      <c r="M1" s="222"/>
      <c r="N1" s="635"/>
      <c r="O1" s="635"/>
      <c r="P1" s="635"/>
      <c r="Q1" s="643" t="s">
        <v>535</v>
      </c>
      <c r="R1" s="643"/>
      <c r="S1" s="643"/>
      <c r="T1" s="539"/>
      <c r="U1" s="642" t="s">
        <v>564</v>
      </c>
      <c r="V1" s="539"/>
      <c r="W1" s="539"/>
      <c r="X1" s="539"/>
      <c r="Y1" s="539"/>
      <c r="Z1" s="539"/>
      <c r="AA1" s="539"/>
      <c r="AB1" s="570"/>
      <c r="AC1" s="570"/>
      <c r="AD1" s="539"/>
      <c r="AF1" s="222"/>
      <c r="AG1" s="635"/>
      <c r="AH1" s="635"/>
      <c r="AI1" s="635"/>
      <c r="AJ1" s="643" t="s">
        <v>536</v>
      </c>
      <c r="AK1" s="643"/>
      <c r="AL1" s="643"/>
    </row>
    <row r="2" spans="1:38" s="540" customFormat="1" ht="15" customHeight="1" x14ac:dyDescent="0.3">
      <c r="B2" s="636"/>
      <c r="C2" s="636"/>
      <c r="D2" s="636"/>
      <c r="E2" s="692" t="s">
        <v>352</v>
      </c>
      <c r="F2" s="692"/>
      <c r="G2" s="692"/>
      <c r="H2" s="692"/>
      <c r="I2" s="692"/>
      <c r="J2" s="692"/>
      <c r="K2" s="692"/>
      <c r="L2" s="692"/>
      <c r="M2" s="223"/>
      <c r="N2" s="223"/>
      <c r="O2" s="223"/>
      <c r="P2" s="223"/>
      <c r="Q2" s="643"/>
      <c r="R2" s="643"/>
      <c r="S2" s="643"/>
      <c r="U2" s="636"/>
      <c r="V2" s="636"/>
      <c r="W2" s="636"/>
      <c r="X2" s="692" t="s">
        <v>353</v>
      </c>
      <c r="Y2" s="692"/>
      <c r="Z2" s="692"/>
      <c r="AA2" s="692"/>
      <c r="AB2" s="692"/>
      <c r="AC2" s="692"/>
      <c r="AD2" s="692"/>
      <c r="AE2" s="223"/>
      <c r="AF2" s="223"/>
      <c r="AG2" s="223"/>
      <c r="AH2" s="223"/>
      <c r="AI2" s="223"/>
      <c r="AJ2" s="643"/>
      <c r="AK2" s="643"/>
      <c r="AL2" s="643"/>
    </row>
    <row r="3" spans="1:38" s="540" customFormat="1" ht="15" customHeight="1" x14ac:dyDescent="0.3">
      <c r="A3" s="541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P3" s="693" t="s">
        <v>418</v>
      </c>
      <c r="Q3" s="693"/>
      <c r="R3" s="693"/>
      <c r="S3" s="574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I3" s="693" t="s">
        <v>418</v>
      </c>
      <c r="AJ3" s="693"/>
      <c r="AK3" s="693"/>
    </row>
    <row r="4" spans="1:38" s="542" customFormat="1" ht="61.2" x14ac:dyDescent="0.3">
      <c r="A4" s="197" t="s">
        <v>31</v>
      </c>
      <c r="B4" s="197" t="s">
        <v>32</v>
      </c>
      <c r="C4" s="166" t="s">
        <v>436</v>
      </c>
      <c r="D4" s="166" t="s">
        <v>440</v>
      </c>
      <c r="E4" s="166" t="s">
        <v>437</v>
      </c>
      <c r="F4" s="166" t="s">
        <v>441</v>
      </c>
      <c r="G4" s="166" t="s">
        <v>438</v>
      </c>
      <c r="H4" s="166" t="s">
        <v>442</v>
      </c>
      <c r="I4" s="166" t="s">
        <v>439</v>
      </c>
      <c r="J4" s="166" t="s">
        <v>443</v>
      </c>
      <c r="K4" s="197" t="s">
        <v>32</v>
      </c>
      <c r="L4" s="166" t="s">
        <v>436</v>
      </c>
      <c r="M4" s="166" t="s">
        <v>440</v>
      </c>
      <c r="N4" s="166" t="s">
        <v>437</v>
      </c>
      <c r="O4" s="166" t="s">
        <v>441</v>
      </c>
      <c r="P4" s="166" t="s">
        <v>438</v>
      </c>
      <c r="Q4" s="166" t="s">
        <v>442</v>
      </c>
      <c r="R4" s="166" t="s">
        <v>439</v>
      </c>
      <c r="S4" s="166" t="s">
        <v>443</v>
      </c>
      <c r="T4" s="197" t="s">
        <v>31</v>
      </c>
      <c r="U4" s="197" t="s">
        <v>32</v>
      </c>
      <c r="V4" s="166" t="s">
        <v>436</v>
      </c>
      <c r="W4" s="166" t="s">
        <v>440</v>
      </c>
      <c r="X4" s="166" t="s">
        <v>437</v>
      </c>
      <c r="Y4" s="166" t="s">
        <v>441</v>
      </c>
      <c r="Z4" s="166" t="s">
        <v>438</v>
      </c>
      <c r="AA4" s="166" t="s">
        <v>442</v>
      </c>
      <c r="AB4" s="166" t="s">
        <v>439</v>
      </c>
      <c r="AC4" s="166" t="s">
        <v>443</v>
      </c>
      <c r="AD4" s="197" t="s">
        <v>32</v>
      </c>
      <c r="AE4" s="166" t="s">
        <v>436</v>
      </c>
      <c r="AF4" s="166" t="s">
        <v>440</v>
      </c>
      <c r="AG4" s="166" t="s">
        <v>437</v>
      </c>
      <c r="AH4" s="166" t="s">
        <v>441</v>
      </c>
      <c r="AI4" s="166" t="s">
        <v>438</v>
      </c>
      <c r="AJ4" s="166" t="s">
        <v>442</v>
      </c>
      <c r="AK4" s="166" t="s">
        <v>439</v>
      </c>
      <c r="AL4" s="166" t="s">
        <v>443</v>
      </c>
    </row>
    <row r="5" spans="1:38" s="540" customFormat="1" ht="20.399999999999999" x14ac:dyDescent="0.3">
      <c r="A5" s="433" t="s">
        <v>12</v>
      </c>
      <c r="B5" s="369" t="s">
        <v>80</v>
      </c>
      <c r="C5" s="99">
        <f>'2020. 1.bevkiadfőössz. '!C5</f>
        <v>811553548</v>
      </c>
      <c r="D5" s="155">
        <f>'2020. 1.bevkiadfőössz. '!D5</f>
        <v>852246572</v>
      </c>
      <c r="E5" s="99">
        <f>'2020. 1.bevkiadfőössz. '!E5</f>
        <v>0</v>
      </c>
      <c r="F5" s="99">
        <f>'2020. 1.bevkiadfőössz. '!F5</f>
        <v>0</v>
      </c>
      <c r="G5" s="99">
        <f>'2020. 1.bevkiadfőössz. '!G5</f>
        <v>0</v>
      </c>
      <c r="H5" s="99">
        <f>'2020. 1.bevkiadfőössz. '!H5</f>
        <v>0</v>
      </c>
      <c r="I5" s="97">
        <f>C5+E5+G5</f>
        <v>811553548</v>
      </c>
      <c r="J5" s="97">
        <f>D5+F5+H5</f>
        <v>852246572</v>
      </c>
      <c r="K5" s="367" t="s">
        <v>7</v>
      </c>
      <c r="L5" s="99">
        <f>'2020. 1.bevkiadfőössz. '!C42</f>
        <v>814708000</v>
      </c>
      <c r="M5" s="155">
        <f>'2020. 1.bevkiadfőössz. '!D42</f>
        <v>826648453</v>
      </c>
      <c r="N5" s="99">
        <f>'2020. 1.bevkiadfőössz. '!E42</f>
        <v>0</v>
      </c>
      <c r="O5" s="99">
        <f>'2020. 1.bevkiadfőössz. '!F42</f>
        <v>0</v>
      </c>
      <c r="P5" s="99">
        <f>'2020. 1.bevkiadfőössz. '!G42</f>
        <v>0</v>
      </c>
      <c r="Q5" s="99">
        <f>'2020. 1.bevkiadfőössz. '!H42</f>
        <v>0</v>
      </c>
      <c r="R5" s="194">
        <f>L5+N5+P5</f>
        <v>814708000</v>
      </c>
      <c r="S5" s="194">
        <f>M5+O5+Q5</f>
        <v>826648453</v>
      </c>
      <c r="T5" s="433" t="s">
        <v>12</v>
      </c>
      <c r="U5" s="369" t="s">
        <v>165</v>
      </c>
      <c r="V5" s="96">
        <f>'2020. 1.bevkiadfőössz. '!C11</f>
        <v>711000000</v>
      </c>
      <c r="W5" s="538">
        <f>'2020. 1.bevkiadfőössz. '!D11</f>
        <v>478500000</v>
      </c>
      <c r="X5" s="96">
        <f>'2020. 1.bevkiadfőössz. '!E11</f>
        <v>0</v>
      </c>
      <c r="Y5" s="96">
        <f>'2020. 1.bevkiadfőössz. '!F11</f>
        <v>0</v>
      </c>
      <c r="Z5" s="96">
        <f>'2020. 1.bevkiadfőössz. '!G11</f>
        <v>0</v>
      </c>
      <c r="AA5" s="96">
        <f>'2020. 1.bevkiadfőössz. '!H11</f>
        <v>0</v>
      </c>
      <c r="AB5" s="97">
        <f t="shared" ref="AB5:AC8" si="0">V5+X5+Z5</f>
        <v>711000000</v>
      </c>
      <c r="AC5" s="97">
        <f t="shared" si="0"/>
        <v>478500000</v>
      </c>
      <c r="AD5" s="367" t="s">
        <v>10</v>
      </c>
      <c r="AE5" s="580">
        <f>'2020. 1.bevkiadfőössz. '!C53</f>
        <v>1461753000</v>
      </c>
      <c r="AF5" s="580">
        <f>'2020. 1.bevkiadfőössz. '!D53</f>
        <v>802761350</v>
      </c>
      <c r="AG5" s="580">
        <f>'2020. 1.bevkiadfőössz. '!E53</f>
        <v>0</v>
      </c>
      <c r="AH5" s="580">
        <f>'2020. 1.bevkiadfőössz. '!F53</f>
        <v>0</v>
      </c>
      <c r="AI5" s="580">
        <f>'2020. 1.bevkiadfőössz. '!G53</f>
        <v>0</v>
      </c>
      <c r="AJ5" s="580">
        <f>'2020. 1.bevkiadfőössz. '!H53</f>
        <v>0</v>
      </c>
      <c r="AK5" s="152">
        <f t="shared" ref="AK5:AL8" si="1">AE5+AG5+AI5</f>
        <v>1461753000</v>
      </c>
      <c r="AL5" s="152">
        <f t="shared" si="1"/>
        <v>802761350</v>
      </c>
    </row>
    <row r="6" spans="1:38" s="540" customFormat="1" ht="20.399999999999999" x14ac:dyDescent="0.3">
      <c r="A6" s="433" t="s">
        <v>13</v>
      </c>
      <c r="B6" s="369" t="s">
        <v>134</v>
      </c>
      <c r="C6" s="99">
        <f>'2020. 1.bevkiadfőössz. '!C6</f>
        <v>124471452</v>
      </c>
      <c r="D6" s="155">
        <f>'2020. 1.bevkiadfőössz. '!D6</f>
        <v>83778428</v>
      </c>
      <c r="E6" s="99">
        <f>'2020. 1.bevkiadfőössz. '!E6</f>
        <v>0</v>
      </c>
      <c r="F6" s="99">
        <f>'2020. 1.bevkiadfőössz. '!F6</f>
        <v>0</v>
      </c>
      <c r="G6" s="99">
        <f>'2020. 1.bevkiadfőössz. '!G6</f>
        <v>0</v>
      </c>
      <c r="H6" s="99">
        <f>'2020. 1.bevkiadfőössz. '!H6</f>
        <v>0</v>
      </c>
      <c r="I6" s="97">
        <f t="shared" ref="I6:J9" si="2">C6+E6+G6</f>
        <v>124471452</v>
      </c>
      <c r="J6" s="97">
        <f t="shared" si="2"/>
        <v>83778428</v>
      </c>
      <c r="K6" s="289" t="s">
        <v>8</v>
      </c>
      <c r="L6" s="368">
        <f>'2020. 1.bevkiadfőössz. '!C43</f>
        <v>151832000</v>
      </c>
      <c r="M6" s="579">
        <f>'2020. 1.bevkiadfőössz. '!D43</f>
        <v>154332000</v>
      </c>
      <c r="N6" s="368">
        <f>'2020. 1.bevkiadfőössz. '!E43</f>
        <v>0</v>
      </c>
      <c r="O6" s="368">
        <f>'2020. 1.bevkiadfőössz. '!F43</f>
        <v>0</v>
      </c>
      <c r="P6" s="368">
        <f>'2020. 1.bevkiadfőössz. '!G43</f>
        <v>0</v>
      </c>
      <c r="Q6" s="368">
        <f>'2020. 1.bevkiadfőössz. '!H43</f>
        <v>0</v>
      </c>
      <c r="R6" s="194">
        <f t="shared" ref="R6:S9" si="3">L6+N6+P6</f>
        <v>151832000</v>
      </c>
      <c r="S6" s="194">
        <f t="shared" si="3"/>
        <v>154332000</v>
      </c>
      <c r="T6" s="433" t="s">
        <v>13</v>
      </c>
      <c r="U6" s="369" t="s">
        <v>90</v>
      </c>
      <c r="V6" s="96">
        <f>'2020. 1.bevkiadfőössz. '!C20</f>
        <v>281000000</v>
      </c>
      <c r="W6" s="538">
        <f>'2020. 1.bevkiadfőössz. '!D20</f>
        <v>38521437</v>
      </c>
      <c r="X6" s="96">
        <f>'2020. 1.bevkiadfőössz. '!E20</f>
        <v>0</v>
      </c>
      <c r="Y6" s="96">
        <f>'2020. 1.bevkiadfőössz. '!F20</f>
        <v>0</v>
      </c>
      <c r="Z6" s="96">
        <f>'2020. 1.bevkiadfőössz. '!G20</f>
        <v>0</v>
      </c>
      <c r="AA6" s="96">
        <f>'2020. 1.bevkiadfőössz. '!H20</f>
        <v>0</v>
      </c>
      <c r="AB6" s="97">
        <f t="shared" si="0"/>
        <v>281000000</v>
      </c>
      <c r="AC6" s="97">
        <f t="shared" si="0"/>
        <v>38521437</v>
      </c>
      <c r="AD6" s="289" t="s">
        <v>11</v>
      </c>
      <c r="AE6" s="155">
        <f>'2020. 1.bevkiadfőössz. '!C54</f>
        <v>125000000</v>
      </c>
      <c r="AF6" s="155">
        <f>'2020. 1.bevkiadfőössz. '!D54</f>
        <v>193515000</v>
      </c>
      <c r="AG6" s="155">
        <f>'2020. 1.bevkiadfőössz. '!E54</f>
        <v>0</v>
      </c>
      <c r="AH6" s="155">
        <f>'2020. 1.bevkiadfőössz. '!F54</f>
        <v>0</v>
      </c>
      <c r="AI6" s="155">
        <f>'2020. 1.bevkiadfőössz. '!G54</f>
        <v>0</v>
      </c>
      <c r="AJ6" s="155">
        <f>'2020. 1.bevkiadfőössz. '!H54</f>
        <v>0</v>
      </c>
      <c r="AK6" s="152">
        <f t="shared" si="1"/>
        <v>125000000</v>
      </c>
      <c r="AL6" s="152">
        <f t="shared" si="1"/>
        <v>193515000</v>
      </c>
    </row>
    <row r="7" spans="1:38" s="540" customFormat="1" ht="14.1" customHeight="1" x14ac:dyDescent="0.3">
      <c r="A7" s="433" t="s">
        <v>14</v>
      </c>
      <c r="B7" s="369" t="s">
        <v>88</v>
      </c>
      <c r="C7" s="99">
        <f>'2020. 1.bevkiadfőössz. '!C12</f>
        <v>1000144000</v>
      </c>
      <c r="D7" s="155">
        <f>'2020. 1.bevkiadfőössz. '!D12</f>
        <v>959144000</v>
      </c>
      <c r="E7" s="99">
        <f>'2020. 1.bevkiadfőössz. '!E12</f>
        <v>99856000</v>
      </c>
      <c r="F7" s="99">
        <f>'2020. 1.bevkiadfőössz. '!F12</f>
        <v>95856000</v>
      </c>
      <c r="G7" s="99">
        <f>'2020. 1.bevkiadfőössz. '!G12</f>
        <v>0</v>
      </c>
      <c r="H7" s="99">
        <f>'2020. 1.bevkiadfőössz. '!H12</f>
        <v>0</v>
      </c>
      <c r="I7" s="97">
        <f>C7+E7+G7</f>
        <v>1100000000</v>
      </c>
      <c r="J7" s="97">
        <f t="shared" si="2"/>
        <v>1055000000</v>
      </c>
      <c r="K7" s="367" t="s">
        <v>135</v>
      </c>
      <c r="L7" s="368">
        <f>'2020. 1.bevkiadfőössz. '!C44</f>
        <v>699265000</v>
      </c>
      <c r="M7" s="579">
        <f>'2020. 1.bevkiadfőössz. '!D44</f>
        <v>717910894</v>
      </c>
      <c r="N7" s="368">
        <f>'2020. 1.bevkiadfőössz. '!E44</f>
        <v>0</v>
      </c>
      <c r="O7" s="368">
        <f>'2020. 1.bevkiadfőössz. '!F44</f>
        <v>0</v>
      </c>
      <c r="P7" s="368">
        <f>'2020. 1.bevkiadfőössz. '!G44</f>
        <v>0</v>
      </c>
      <c r="Q7" s="368">
        <f>'2020. 1.bevkiadfőössz. '!H44</f>
        <v>0</v>
      </c>
      <c r="R7" s="194">
        <f t="shared" si="3"/>
        <v>699265000</v>
      </c>
      <c r="S7" s="194">
        <f t="shared" si="3"/>
        <v>717910894</v>
      </c>
      <c r="T7" s="433" t="s">
        <v>14</v>
      </c>
      <c r="U7" s="373" t="s">
        <v>92</v>
      </c>
      <c r="V7" s="538">
        <f>'2020. 1.bevkiadfőössz. '!C22</f>
        <v>0</v>
      </c>
      <c r="W7" s="538">
        <f>'2020. 1.bevkiadfőössz. '!D22</f>
        <v>0</v>
      </c>
      <c r="X7" s="96">
        <v>0</v>
      </c>
      <c r="Y7" s="96"/>
      <c r="Z7" s="96">
        <v>0</v>
      </c>
      <c r="AA7" s="96"/>
      <c r="AB7" s="97">
        <f t="shared" si="0"/>
        <v>0</v>
      </c>
      <c r="AC7" s="97">
        <f t="shared" si="0"/>
        <v>0</v>
      </c>
      <c r="AD7" s="367" t="s">
        <v>173</v>
      </c>
      <c r="AE7" s="580">
        <f>'2020. 1.bevkiadfőössz. '!C55</f>
        <v>0</v>
      </c>
      <c r="AF7" s="580">
        <f>'2020. 1.bevkiadfőössz. '!D55</f>
        <v>0</v>
      </c>
      <c r="AG7" s="580">
        <f>'2020. 1.bevkiadfőössz. '!E55</f>
        <v>0</v>
      </c>
      <c r="AH7" s="580">
        <f>'2020. 1.bevkiadfőössz. '!F55</f>
        <v>0</v>
      </c>
      <c r="AI7" s="580">
        <f>'2020. 1.bevkiadfőössz. '!G55</f>
        <v>0</v>
      </c>
      <c r="AJ7" s="580">
        <f>'2020. 1.bevkiadfőössz. '!H55</f>
        <v>0</v>
      </c>
      <c r="AK7" s="152">
        <f t="shared" si="1"/>
        <v>0</v>
      </c>
      <c r="AL7" s="152">
        <f t="shared" si="1"/>
        <v>0</v>
      </c>
    </row>
    <row r="8" spans="1:38" s="540" customFormat="1" x14ac:dyDescent="0.3">
      <c r="A8" s="433" t="s">
        <v>15</v>
      </c>
      <c r="B8" s="369" t="s">
        <v>91</v>
      </c>
      <c r="C8" s="96">
        <v>0</v>
      </c>
      <c r="D8" s="538">
        <f>'2020. 1.bevkiadfőössz. '!D21</f>
        <v>0</v>
      </c>
      <c r="E8" s="96">
        <f>'2020. 1.bevkiadfőössz. '!E21</f>
        <v>0</v>
      </c>
      <c r="F8" s="96">
        <f>'2020. 1.bevkiadfőössz. '!F21</f>
        <v>2237500</v>
      </c>
      <c r="G8" s="96">
        <f>'2020. 1.bevkiadfőössz. '!G21</f>
        <v>0</v>
      </c>
      <c r="H8" s="96">
        <f>'2020. 1.bevkiadfőössz. '!H21</f>
        <v>0</v>
      </c>
      <c r="I8" s="97">
        <f t="shared" si="2"/>
        <v>0</v>
      </c>
      <c r="J8" s="97">
        <f t="shared" si="2"/>
        <v>2237500</v>
      </c>
      <c r="K8" s="289" t="s">
        <v>49</v>
      </c>
      <c r="L8" s="368">
        <f>'2020. 1.bevkiadfőössz. '!C45</f>
        <v>0</v>
      </c>
      <c r="M8" s="579">
        <f>'2020. 1.bevkiadfőössz. '!D45</f>
        <v>0</v>
      </c>
      <c r="N8" s="368">
        <f>'2020. 1.bevkiadfőössz. '!E45</f>
        <v>17000000</v>
      </c>
      <c r="O8" s="368">
        <f>'2020. 1.bevkiadfőössz. '!F45</f>
        <v>19237500</v>
      </c>
      <c r="P8" s="368">
        <f>'2020. 1.bevkiadfőössz. '!G45</f>
        <v>0</v>
      </c>
      <c r="Q8" s="368">
        <f>'2020. 1.bevkiadfőössz. '!H45</f>
        <v>0</v>
      </c>
      <c r="R8" s="194">
        <f t="shared" si="3"/>
        <v>17000000</v>
      </c>
      <c r="S8" s="194">
        <f t="shared" si="3"/>
        <v>19237500</v>
      </c>
      <c r="T8" s="433" t="s">
        <v>15</v>
      </c>
      <c r="U8" s="373" t="s">
        <v>166</v>
      </c>
      <c r="V8" s="538">
        <v>0</v>
      </c>
      <c r="W8" s="538">
        <v>0</v>
      </c>
      <c r="X8" s="96">
        <v>0</v>
      </c>
      <c r="Y8" s="96"/>
      <c r="Z8" s="96">
        <v>0</v>
      </c>
      <c r="AA8" s="96"/>
      <c r="AB8" s="97">
        <f t="shared" si="0"/>
        <v>0</v>
      </c>
      <c r="AC8" s="97">
        <f t="shared" si="0"/>
        <v>0</v>
      </c>
      <c r="AD8" s="289" t="s">
        <v>229</v>
      </c>
      <c r="AE8" s="99">
        <f>+'11-12.tartalék.köt.köt.részl.'!D15</f>
        <v>87000000</v>
      </c>
      <c r="AF8" s="155">
        <f>'11-12.tartalék.köt.köt.részl.'!E15</f>
        <v>59886220</v>
      </c>
      <c r="AG8" s="99">
        <v>0</v>
      </c>
      <c r="AH8" s="99">
        <v>0</v>
      </c>
      <c r="AI8" s="99">
        <v>0</v>
      </c>
      <c r="AJ8" s="99">
        <v>0</v>
      </c>
      <c r="AK8" s="152">
        <f t="shared" si="1"/>
        <v>87000000</v>
      </c>
      <c r="AL8" s="152">
        <f t="shared" si="1"/>
        <v>59886220</v>
      </c>
    </row>
    <row r="9" spans="1:38" s="540" customFormat="1" ht="14.1" customHeight="1" x14ac:dyDescent="0.3">
      <c r="A9" s="433" t="s">
        <v>16</v>
      </c>
      <c r="B9" s="369" t="s">
        <v>89</v>
      </c>
      <c r="C9" s="99">
        <f>'2020. 1.bevkiadfőössz. '!C19</f>
        <v>341996000</v>
      </c>
      <c r="D9" s="155">
        <f>'2020. 1.bevkiadfőössz. '!D19</f>
        <v>341996000</v>
      </c>
      <c r="E9" s="99">
        <f>'2020. 1.bevkiadfőössz. '!E19</f>
        <v>0</v>
      </c>
      <c r="F9" s="99">
        <f>'2020. 1.bevkiadfőössz. '!F19</f>
        <v>0</v>
      </c>
      <c r="G9" s="99">
        <f>'2020. 1.bevkiadfőössz. '!G19</f>
        <v>0</v>
      </c>
      <c r="H9" s="99">
        <f>'2020. 1.bevkiadfőössz. '!H19</f>
        <v>0</v>
      </c>
      <c r="I9" s="97">
        <f t="shared" si="2"/>
        <v>341996000</v>
      </c>
      <c r="J9" s="97">
        <f t="shared" si="2"/>
        <v>341996000</v>
      </c>
      <c r="K9" s="289" t="s">
        <v>50</v>
      </c>
      <c r="L9" s="368">
        <f>'2020. 1.bevkiadfőössz. '!C46</f>
        <v>485938000</v>
      </c>
      <c r="M9" s="579">
        <f>'2020. 1.bevkiadfőössz. '!D46</f>
        <v>506549817</v>
      </c>
      <c r="N9" s="368">
        <f>'2020. 1.bevkiadfőössz. '!E46</f>
        <v>82856000</v>
      </c>
      <c r="O9" s="368">
        <f>'2020. 1.bevkiadfőössz. '!F46</f>
        <v>78856000</v>
      </c>
      <c r="P9" s="368">
        <f>'2020. 1.bevkiadfőössz. '!G46</f>
        <v>0</v>
      </c>
      <c r="Q9" s="368">
        <f>'2020. 1.bevkiadfőössz. '!H46</f>
        <v>0</v>
      </c>
      <c r="R9" s="194">
        <f t="shared" si="3"/>
        <v>568794000</v>
      </c>
      <c r="S9" s="194">
        <f t="shared" si="3"/>
        <v>585405817</v>
      </c>
      <c r="T9" s="433" t="s">
        <v>16</v>
      </c>
      <c r="U9" s="369"/>
      <c r="V9" s="96"/>
      <c r="W9" s="96"/>
      <c r="X9" s="94"/>
      <c r="Y9" s="94"/>
      <c r="Z9" s="94"/>
      <c r="AA9" s="94"/>
      <c r="AB9" s="97"/>
      <c r="AC9" s="97"/>
      <c r="AD9" s="289"/>
      <c r="AE9" s="99"/>
      <c r="AF9" s="99"/>
      <c r="AG9" s="99"/>
      <c r="AH9" s="99"/>
      <c r="AI9" s="99"/>
      <c r="AJ9" s="99"/>
      <c r="AK9" s="152"/>
      <c r="AL9" s="152"/>
    </row>
    <row r="10" spans="1:38" s="540" customFormat="1" ht="14.1" customHeight="1" x14ac:dyDescent="0.3">
      <c r="A10" s="433" t="s">
        <v>17</v>
      </c>
      <c r="B10" s="370"/>
      <c r="C10" s="99"/>
      <c r="D10" s="99"/>
      <c r="E10" s="99"/>
      <c r="F10" s="99"/>
      <c r="G10" s="96"/>
      <c r="H10" s="96"/>
      <c r="I10" s="97"/>
      <c r="J10" s="97"/>
      <c r="K10" s="289" t="s">
        <v>252</v>
      </c>
      <c r="L10" s="99">
        <f>'11-12.tartalék.köt.köt.részl.'!D9+'11-12.tartalék.köt.köt.részl.'!D11+'11-12.tartalék.köt.köt.részl.'!D13</f>
        <v>27000000</v>
      </c>
      <c r="M10" s="155">
        <f>'11-12.tartalék.köt.köt.részl.'!E9+'11-12.tartalék.köt.köt.részl.'!E11+'11-12.tartalék.köt.köt.részl.'!E13</f>
        <v>34803500</v>
      </c>
      <c r="N10" s="99">
        <v>0</v>
      </c>
      <c r="O10" s="99"/>
      <c r="P10" s="99">
        <v>0</v>
      </c>
      <c r="Q10" s="99"/>
      <c r="R10" s="194">
        <f t="shared" ref="R10" si="4">L10+N10+P10</f>
        <v>27000000</v>
      </c>
      <c r="S10" s="194">
        <f t="shared" ref="S10" si="5">M10+O10+Q10</f>
        <v>34803500</v>
      </c>
      <c r="T10" s="433" t="s">
        <v>17</v>
      </c>
      <c r="U10" s="94"/>
      <c r="V10" s="96"/>
      <c r="W10" s="96"/>
      <c r="X10" s="94"/>
      <c r="Y10" s="94"/>
      <c r="Z10" s="94"/>
      <c r="AA10" s="94"/>
      <c r="AB10" s="97"/>
      <c r="AC10" s="97"/>
      <c r="AD10" s="289"/>
      <c r="AE10" s="99"/>
      <c r="AF10" s="99"/>
      <c r="AG10" s="99"/>
      <c r="AH10" s="99"/>
      <c r="AI10" s="99"/>
      <c r="AJ10" s="99"/>
      <c r="AK10" s="152"/>
      <c r="AL10" s="152"/>
    </row>
    <row r="11" spans="1:38" s="540" customFormat="1" ht="14.1" customHeight="1" x14ac:dyDescent="0.3">
      <c r="A11" s="433" t="s">
        <v>18</v>
      </c>
      <c r="B11" s="370"/>
      <c r="C11" s="96"/>
      <c r="D11" s="96"/>
      <c r="E11" s="94"/>
      <c r="F11" s="94"/>
      <c r="G11" s="96"/>
      <c r="H11" s="96"/>
      <c r="I11" s="97"/>
      <c r="J11" s="97"/>
      <c r="K11" s="289"/>
      <c r="L11" s="99"/>
      <c r="M11" s="99"/>
      <c r="N11" s="99"/>
      <c r="O11" s="99"/>
      <c r="P11" s="99"/>
      <c r="Q11" s="99"/>
      <c r="R11" s="194"/>
      <c r="S11" s="194"/>
      <c r="T11" s="433" t="s">
        <v>18</v>
      </c>
      <c r="U11" s="370"/>
      <c r="V11" s="96"/>
      <c r="W11" s="96"/>
      <c r="X11" s="94"/>
      <c r="Y11" s="94"/>
      <c r="Z11" s="94"/>
      <c r="AA11" s="94"/>
      <c r="AB11" s="97"/>
      <c r="AC11" s="97"/>
      <c r="AD11" s="289"/>
      <c r="AE11" s="99"/>
      <c r="AF11" s="99"/>
      <c r="AG11" s="99"/>
      <c r="AH11" s="99"/>
      <c r="AI11" s="99"/>
      <c r="AJ11" s="99"/>
      <c r="AK11" s="152"/>
      <c r="AL11" s="152"/>
    </row>
    <row r="12" spans="1:38" s="540" customFormat="1" ht="14.1" customHeight="1" x14ac:dyDescent="0.3">
      <c r="A12" s="433" t="s">
        <v>19</v>
      </c>
      <c r="B12" s="370"/>
      <c r="C12" s="94"/>
      <c r="D12" s="94"/>
      <c r="E12" s="94"/>
      <c r="F12" s="94"/>
      <c r="G12" s="96"/>
      <c r="H12" s="96"/>
      <c r="I12" s="97"/>
      <c r="J12" s="97"/>
      <c r="K12" s="289"/>
      <c r="L12" s="99"/>
      <c r="M12" s="99"/>
      <c r="N12" s="99"/>
      <c r="O12" s="99"/>
      <c r="P12" s="99"/>
      <c r="Q12" s="99"/>
      <c r="R12" s="194"/>
      <c r="S12" s="194"/>
      <c r="T12" s="433" t="s">
        <v>19</v>
      </c>
      <c r="U12" s="370"/>
      <c r="V12" s="94"/>
      <c r="W12" s="94"/>
      <c r="X12" s="94"/>
      <c r="Y12" s="94"/>
      <c r="Z12" s="94"/>
      <c r="AA12" s="94"/>
      <c r="AB12" s="97"/>
      <c r="AC12" s="97"/>
      <c r="AD12" s="289"/>
      <c r="AE12" s="99"/>
      <c r="AF12" s="99"/>
      <c r="AG12" s="99"/>
      <c r="AH12" s="99"/>
      <c r="AI12" s="99"/>
      <c r="AJ12" s="99"/>
      <c r="AK12" s="152"/>
      <c r="AL12" s="152"/>
    </row>
    <row r="13" spans="1:38" s="540" customFormat="1" ht="14.1" customHeight="1" x14ac:dyDescent="0.3">
      <c r="A13" s="433" t="s">
        <v>20</v>
      </c>
      <c r="B13" s="370"/>
      <c r="C13" s="96"/>
      <c r="D13" s="96"/>
      <c r="E13" s="94"/>
      <c r="F13" s="94"/>
      <c r="G13" s="96"/>
      <c r="H13" s="96"/>
      <c r="I13" s="97"/>
      <c r="J13" s="97"/>
      <c r="K13" s="289"/>
      <c r="L13" s="99"/>
      <c r="M13" s="99"/>
      <c r="N13" s="99"/>
      <c r="O13" s="99"/>
      <c r="P13" s="99"/>
      <c r="Q13" s="99"/>
      <c r="R13" s="194"/>
      <c r="S13" s="194"/>
      <c r="T13" s="433" t="s">
        <v>20</v>
      </c>
      <c r="U13" s="370"/>
      <c r="V13" s="96"/>
      <c r="W13" s="96"/>
      <c r="X13" s="94"/>
      <c r="Y13" s="94"/>
      <c r="Z13" s="94"/>
      <c r="AA13" s="94"/>
      <c r="AB13" s="97"/>
      <c r="AC13" s="97"/>
      <c r="AD13" s="289"/>
      <c r="AE13" s="99"/>
      <c r="AF13" s="99"/>
      <c r="AG13" s="99"/>
      <c r="AH13" s="99"/>
      <c r="AI13" s="99"/>
      <c r="AJ13" s="99"/>
      <c r="AK13" s="152"/>
      <c r="AL13" s="152"/>
    </row>
    <row r="14" spans="1:38" s="540" customFormat="1" ht="14.1" customHeight="1" x14ac:dyDescent="0.3">
      <c r="A14" s="433" t="s">
        <v>21</v>
      </c>
      <c r="B14" s="370"/>
      <c r="C14" s="94"/>
      <c r="D14" s="94"/>
      <c r="E14" s="94"/>
      <c r="F14" s="94"/>
      <c r="G14" s="96"/>
      <c r="H14" s="96"/>
      <c r="I14" s="97"/>
      <c r="J14" s="97"/>
      <c r="L14" s="99"/>
      <c r="M14" s="99"/>
      <c r="N14" s="99"/>
      <c r="O14" s="99"/>
      <c r="P14" s="99"/>
      <c r="Q14" s="99"/>
      <c r="R14" s="194"/>
      <c r="S14" s="194"/>
      <c r="T14" s="433" t="s">
        <v>21</v>
      </c>
      <c r="U14" s="94"/>
      <c r="V14" s="94"/>
      <c r="W14" s="94"/>
      <c r="X14" s="94"/>
      <c r="Y14" s="94"/>
      <c r="Z14" s="94"/>
      <c r="AA14" s="94"/>
      <c r="AB14" s="97"/>
      <c r="AC14" s="97"/>
      <c r="AD14" s="289"/>
      <c r="AE14" s="99"/>
      <c r="AF14" s="99"/>
      <c r="AG14" s="99"/>
      <c r="AH14" s="99"/>
      <c r="AI14" s="99"/>
      <c r="AJ14" s="99"/>
      <c r="AK14" s="152"/>
      <c r="AL14" s="152"/>
    </row>
    <row r="15" spans="1:38" s="540" customFormat="1" ht="14.1" customHeight="1" x14ac:dyDescent="0.3">
      <c r="A15" s="433" t="s">
        <v>22</v>
      </c>
      <c r="B15" s="372"/>
      <c r="C15" s="98"/>
      <c r="D15" s="98"/>
      <c r="E15" s="98"/>
      <c r="F15" s="98"/>
      <c r="G15" s="150"/>
      <c r="H15" s="150"/>
      <c r="I15" s="97"/>
      <c r="J15" s="97"/>
      <c r="L15" s="153"/>
      <c r="M15" s="153"/>
      <c r="N15" s="153"/>
      <c r="O15" s="153"/>
      <c r="P15" s="153"/>
      <c r="Q15" s="153"/>
      <c r="R15" s="194"/>
      <c r="S15" s="194"/>
      <c r="T15" s="433" t="s">
        <v>22</v>
      </c>
      <c r="U15" s="98"/>
      <c r="V15" s="98"/>
      <c r="W15" s="98"/>
      <c r="X15" s="98"/>
      <c r="Y15" s="98"/>
      <c r="Z15" s="98"/>
      <c r="AA15" s="98"/>
      <c r="AB15" s="97"/>
      <c r="AC15" s="97"/>
      <c r="AD15" s="371"/>
      <c r="AE15" s="153"/>
      <c r="AF15" s="153"/>
      <c r="AG15" s="153"/>
      <c r="AH15" s="153"/>
      <c r="AI15" s="153"/>
      <c r="AJ15" s="153"/>
      <c r="AK15" s="152"/>
      <c r="AL15" s="152"/>
    </row>
    <row r="16" spans="1:38" s="570" customFormat="1" ht="20.399999999999999" x14ac:dyDescent="0.3">
      <c r="A16" s="165" t="s">
        <v>23</v>
      </c>
      <c r="B16" s="370" t="s">
        <v>163</v>
      </c>
      <c r="C16" s="94">
        <f>SUM(C5:C15)</f>
        <v>2278165000</v>
      </c>
      <c r="D16" s="94">
        <f t="shared" ref="D16:J16" si="6">SUM(D5:D15)</f>
        <v>2237165000</v>
      </c>
      <c r="E16" s="94">
        <f t="shared" si="6"/>
        <v>99856000</v>
      </c>
      <c r="F16" s="94">
        <f t="shared" si="6"/>
        <v>98093500</v>
      </c>
      <c r="G16" s="94">
        <f t="shared" si="6"/>
        <v>0</v>
      </c>
      <c r="H16" s="94">
        <f t="shared" si="6"/>
        <v>0</v>
      </c>
      <c r="I16" s="94">
        <f t="shared" si="6"/>
        <v>2378021000</v>
      </c>
      <c r="J16" s="94">
        <f t="shared" si="6"/>
        <v>2335258500</v>
      </c>
      <c r="K16" s="370" t="s">
        <v>162</v>
      </c>
      <c r="L16" s="100">
        <f>SUM(L5:L15)</f>
        <v>2178743000</v>
      </c>
      <c r="M16" s="100">
        <f t="shared" ref="M16:S16" si="7">SUM(M5:M15)</f>
        <v>2240244664</v>
      </c>
      <c r="N16" s="100">
        <f t="shared" si="7"/>
        <v>99856000</v>
      </c>
      <c r="O16" s="100">
        <f t="shared" si="7"/>
        <v>98093500</v>
      </c>
      <c r="P16" s="100">
        <f t="shared" si="7"/>
        <v>0</v>
      </c>
      <c r="Q16" s="100">
        <f t="shared" si="7"/>
        <v>0</v>
      </c>
      <c r="R16" s="100">
        <f t="shared" si="7"/>
        <v>2278599000</v>
      </c>
      <c r="S16" s="100">
        <f t="shared" si="7"/>
        <v>2338338164</v>
      </c>
      <c r="T16" s="165" t="s">
        <v>23</v>
      </c>
      <c r="U16" s="370" t="s">
        <v>167</v>
      </c>
      <c r="V16" s="94">
        <f>V5+V6+V7+V8</f>
        <v>992000000</v>
      </c>
      <c r="W16" s="94">
        <f t="shared" ref="W16:AB16" si="8">W5+W6+W7+W8</f>
        <v>517021437</v>
      </c>
      <c r="X16" s="94">
        <f t="shared" si="8"/>
        <v>0</v>
      </c>
      <c r="Y16" s="94">
        <f t="shared" si="8"/>
        <v>0</v>
      </c>
      <c r="Z16" s="94">
        <f t="shared" si="8"/>
        <v>0</v>
      </c>
      <c r="AA16" s="94">
        <f t="shared" si="8"/>
        <v>0</v>
      </c>
      <c r="AB16" s="94">
        <f t="shared" si="8"/>
        <v>992000000</v>
      </c>
      <c r="AC16" s="94">
        <f>AC5+AC6+AC7+AC8</f>
        <v>517021437</v>
      </c>
      <c r="AD16" s="370" t="s">
        <v>284</v>
      </c>
      <c r="AE16" s="100">
        <f>SUM(AE5:AE15)</f>
        <v>1673753000</v>
      </c>
      <c r="AF16" s="100">
        <f>SUM(AF5:AF15)</f>
        <v>1056162570</v>
      </c>
      <c r="AG16" s="100">
        <f t="shared" ref="AG16:AK16" si="9">SUM(AG5:AG15)</f>
        <v>0</v>
      </c>
      <c r="AH16" s="100">
        <f t="shared" si="9"/>
        <v>0</v>
      </c>
      <c r="AI16" s="100">
        <f t="shared" si="9"/>
        <v>0</v>
      </c>
      <c r="AJ16" s="100">
        <f t="shared" si="9"/>
        <v>0</v>
      </c>
      <c r="AK16" s="100">
        <f t="shared" si="9"/>
        <v>1673753000</v>
      </c>
      <c r="AL16" s="100">
        <f>SUM(AL5:AL15)</f>
        <v>1056162570</v>
      </c>
    </row>
    <row r="17" spans="1:38" s="570" customFormat="1" ht="14.1" customHeight="1" x14ac:dyDescent="0.3">
      <c r="A17" s="571" t="s">
        <v>24</v>
      </c>
      <c r="B17" s="370" t="s">
        <v>143</v>
      </c>
      <c r="C17" s="94">
        <f>C18+C19+C20+C21</f>
        <v>1073011000</v>
      </c>
      <c r="D17" s="94">
        <f t="shared" ref="D17:J17" si="10">D18+D19+D20+D21</f>
        <v>1061760339</v>
      </c>
      <c r="E17" s="94">
        <f t="shared" si="10"/>
        <v>0</v>
      </c>
      <c r="F17" s="94">
        <f t="shared" si="10"/>
        <v>0</v>
      </c>
      <c r="G17" s="94">
        <f t="shared" si="10"/>
        <v>0</v>
      </c>
      <c r="H17" s="94">
        <f t="shared" si="10"/>
        <v>0</v>
      </c>
      <c r="I17" s="94">
        <f t="shared" si="10"/>
        <v>1073011000</v>
      </c>
      <c r="J17" s="94">
        <f t="shared" si="10"/>
        <v>1061760339</v>
      </c>
      <c r="K17" s="370" t="s">
        <v>155</v>
      </c>
      <c r="L17" s="100">
        <v>0</v>
      </c>
      <c r="M17" s="100"/>
      <c r="N17" s="100">
        <v>0</v>
      </c>
      <c r="O17" s="100"/>
      <c r="P17" s="100">
        <v>0</v>
      </c>
      <c r="Q17" s="100"/>
      <c r="R17" s="194">
        <f t="shared" ref="R17:R24" si="11">L17+N17+P17</f>
        <v>0</v>
      </c>
      <c r="S17" s="194">
        <f t="shared" ref="S17:S24" si="12">M17+O17+Q17</f>
        <v>0</v>
      </c>
      <c r="T17" s="571" t="s">
        <v>24</v>
      </c>
      <c r="U17" s="370" t="s">
        <v>143</v>
      </c>
      <c r="V17" s="94">
        <f>SUM(V18:V21)</f>
        <v>333925000</v>
      </c>
      <c r="W17" s="94">
        <f t="shared" ref="W17:AC17" si="13">SUM(W18:W21)</f>
        <v>279456289</v>
      </c>
      <c r="X17" s="94">
        <f t="shared" si="13"/>
        <v>0</v>
      </c>
      <c r="Y17" s="94">
        <f t="shared" si="13"/>
        <v>0</v>
      </c>
      <c r="Z17" s="94">
        <f t="shared" si="13"/>
        <v>0</v>
      </c>
      <c r="AA17" s="94">
        <f t="shared" si="13"/>
        <v>0</v>
      </c>
      <c r="AB17" s="94">
        <f t="shared" si="13"/>
        <v>333925000</v>
      </c>
      <c r="AC17" s="94">
        <f t="shared" si="13"/>
        <v>279456289</v>
      </c>
      <c r="AD17" s="370" t="s">
        <v>155</v>
      </c>
      <c r="AE17" s="100">
        <v>0</v>
      </c>
      <c r="AF17" s="154"/>
      <c r="AG17" s="100">
        <v>0</v>
      </c>
      <c r="AH17" s="100"/>
      <c r="AI17" s="100">
        <v>0</v>
      </c>
      <c r="AJ17" s="100"/>
      <c r="AK17" s="194">
        <f t="shared" ref="AK17:AL24" si="14">AE17+AG17+AI17</f>
        <v>0</v>
      </c>
      <c r="AL17" s="194">
        <f t="shared" si="14"/>
        <v>0</v>
      </c>
    </row>
    <row r="18" spans="1:38" s="539" customFormat="1" ht="20.399999999999999" x14ac:dyDescent="0.3">
      <c r="A18" s="48" t="s">
        <v>136</v>
      </c>
      <c r="B18" s="369" t="s">
        <v>144</v>
      </c>
      <c r="C18" s="96">
        <v>0</v>
      </c>
      <c r="D18" s="96"/>
      <c r="E18" s="96">
        <f>'2020. 1.bevkiadfőössz. '!E27</f>
        <v>0</v>
      </c>
      <c r="F18" s="96">
        <f>'2020. 1.bevkiadfőössz. '!F27</f>
        <v>0</v>
      </c>
      <c r="G18" s="96">
        <f>'2020. 1.bevkiadfőössz. '!G27</f>
        <v>0</v>
      </c>
      <c r="H18" s="96">
        <f>'2020. 1.bevkiadfőössz. '!H27</f>
        <v>0</v>
      </c>
      <c r="I18" s="97">
        <f>C18+E18+G18</f>
        <v>0</v>
      </c>
      <c r="J18" s="97">
        <f>D18+F18+H18</f>
        <v>0</v>
      </c>
      <c r="K18" s="369" t="s">
        <v>156</v>
      </c>
      <c r="L18" s="99">
        <f>'2020. 1.bevkiadfőössz. '!C58</f>
        <v>0</v>
      </c>
      <c r="M18" s="155">
        <f>'2020. 1.bevkiadfőössz. '!D58</f>
        <v>300000000</v>
      </c>
      <c r="N18" s="99">
        <v>0</v>
      </c>
      <c r="O18" s="99"/>
      <c r="P18" s="99">
        <v>0</v>
      </c>
      <c r="Q18" s="99"/>
      <c r="R18" s="194">
        <f>L18+N18+P18</f>
        <v>0</v>
      </c>
      <c r="S18" s="194">
        <f>M18+O18+Q18</f>
        <v>300000000</v>
      </c>
      <c r="T18" s="48" t="s">
        <v>136</v>
      </c>
      <c r="U18" s="369" t="s">
        <v>144</v>
      </c>
      <c r="V18" s="96">
        <f>'2020. 1.bevkiadfőössz. '!C27</f>
        <v>326000000</v>
      </c>
      <c r="W18" s="538">
        <f>'2020. 1.bevkiadfőössz. '!D27</f>
        <v>270834939</v>
      </c>
      <c r="X18" s="96">
        <f>'2020. 1.bevkiadfőössz. '!E27</f>
        <v>0</v>
      </c>
      <c r="Y18" s="96">
        <f>'2020. 1.bevkiadfőössz. '!F27</f>
        <v>0</v>
      </c>
      <c r="Z18" s="96">
        <f>'2020. 1.bevkiadfőössz. '!G27</f>
        <v>0</v>
      </c>
      <c r="AA18" s="96">
        <f>'2020. 1.bevkiadfőössz. '!H27</f>
        <v>0</v>
      </c>
      <c r="AB18" s="97">
        <f>V18+X18+Z18</f>
        <v>326000000</v>
      </c>
      <c r="AC18" s="97">
        <f>W18+Y18+AA18</f>
        <v>270834939</v>
      </c>
      <c r="AD18" s="369" t="s">
        <v>174</v>
      </c>
      <c r="AE18" s="99">
        <v>0</v>
      </c>
      <c r="AF18" s="155"/>
      <c r="AG18" s="99">
        <v>0</v>
      </c>
      <c r="AH18" s="99"/>
      <c r="AI18" s="99">
        <v>0</v>
      </c>
      <c r="AJ18" s="99"/>
      <c r="AK18" s="152">
        <f t="shared" si="14"/>
        <v>0</v>
      </c>
      <c r="AL18" s="152">
        <f t="shared" si="14"/>
        <v>0</v>
      </c>
    </row>
    <row r="19" spans="1:38" s="539" customFormat="1" ht="23.25" customHeight="1" x14ac:dyDescent="0.3">
      <c r="A19" s="48" t="s">
        <v>137</v>
      </c>
      <c r="B19" s="369" t="s">
        <v>145</v>
      </c>
      <c r="C19" s="96">
        <v>0</v>
      </c>
      <c r="D19" s="96"/>
      <c r="E19" s="96">
        <v>0</v>
      </c>
      <c r="F19" s="96"/>
      <c r="G19" s="96">
        <v>0</v>
      </c>
      <c r="H19" s="96"/>
      <c r="I19" s="97">
        <f t="shared" ref="I19:J25" si="15">C19+E19+G19</f>
        <v>0</v>
      </c>
      <c r="J19" s="97">
        <f t="shared" si="15"/>
        <v>0</v>
      </c>
      <c r="K19" s="369" t="s">
        <v>157</v>
      </c>
      <c r="L19" s="99">
        <v>0</v>
      </c>
      <c r="M19" s="99"/>
      <c r="N19" s="99">
        <v>0</v>
      </c>
      <c r="O19" s="99"/>
      <c r="P19" s="99">
        <v>0</v>
      </c>
      <c r="Q19" s="99"/>
      <c r="R19" s="194">
        <f t="shared" si="11"/>
        <v>0</v>
      </c>
      <c r="S19" s="194">
        <f t="shared" si="12"/>
        <v>0</v>
      </c>
      <c r="T19" s="48" t="s">
        <v>137</v>
      </c>
      <c r="U19" s="369" t="s">
        <v>145</v>
      </c>
      <c r="V19" s="96">
        <v>0</v>
      </c>
      <c r="W19" s="96"/>
      <c r="X19" s="96">
        <v>0</v>
      </c>
      <c r="Y19" s="96"/>
      <c r="Z19" s="96">
        <v>0</v>
      </c>
      <c r="AA19" s="96"/>
      <c r="AB19" s="97">
        <f t="shared" ref="AB19:AB21" si="16">V19+X19+Z19</f>
        <v>0</v>
      </c>
      <c r="AC19" s="97">
        <f t="shared" ref="AC19:AC21" si="17">W19+Y19+AA19</f>
        <v>0</v>
      </c>
      <c r="AD19" s="369" t="s">
        <v>157</v>
      </c>
      <c r="AE19" s="99">
        <v>0</v>
      </c>
      <c r="AF19" s="155"/>
      <c r="AG19" s="99">
        <v>0</v>
      </c>
      <c r="AH19" s="99"/>
      <c r="AI19" s="99">
        <v>0</v>
      </c>
      <c r="AJ19" s="99"/>
      <c r="AK19" s="152">
        <f t="shared" si="14"/>
        <v>0</v>
      </c>
      <c r="AL19" s="152">
        <f t="shared" si="14"/>
        <v>0</v>
      </c>
    </row>
    <row r="20" spans="1:38" s="539" customFormat="1" ht="21" customHeight="1" x14ac:dyDescent="0.3">
      <c r="A20" s="48" t="s">
        <v>138</v>
      </c>
      <c r="B20" s="369" t="s">
        <v>146</v>
      </c>
      <c r="C20" s="96">
        <v>0</v>
      </c>
      <c r="D20" s="96"/>
      <c r="E20" s="96">
        <v>0</v>
      </c>
      <c r="F20" s="96"/>
      <c r="G20" s="96">
        <v>0</v>
      </c>
      <c r="H20" s="96"/>
      <c r="I20" s="97">
        <f t="shared" si="15"/>
        <v>0</v>
      </c>
      <c r="J20" s="97">
        <f t="shared" si="15"/>
        <v>0</v>
      </c>
      <c r="K20" s="369" t="s">
        <v>158</v>
      </c>
      <c r="L20" s="99">
        <v>0</v>
      </c>
      <c r="M20" s="99"/>
      <c r="N20" s="99">
        <v>0</v>
      </c>
      <c r="O20" s="99"/>
      <c r="P20" s="99">
        <v>0</v>
      </c>
      <c r="Q20" s="99"/>
      <c r="R20" s="194">
        <f t="shared" si="11"/>
        <v>0</v>
      </c>
      <c r="S20" s="194">
        <f t="shared" si="12"/>
        <v>0</v>
      </c>
      <c r="T20" s="48" t="s">
        <v>138</v>
      </c>
      <c r="U20" s="369" t="s">
        <v>146</v>
      </c>
      <c r="V20" s="96">
        <v>0</v>
      </c>
      <c r="W20" s="96"/>
      <c r="X20" s="96">
        <v>0</v>
      </c>
      <c r="Y20" s="96"/>
      <c r="Z20" s="96">
        <v>0</v>
      </c>
      <c r="AA20" s="96"/>
      <c r="AB20" s="97">
        <f t="shared" si="16"/>
        <v>0</v>
      </c>
      <c r="AC20" s="97">
        <f t="shared" si="17"/>
        <v>0</v>
      </c>
      <c r="AD20" s="373" t="s">
        <v>158</v>
      </c>
      <c r="AE20" s="155">
        <f>'2020. 1.bevkiadfőössz. '!C57</f>
        <v>61368000</v>
      </c>
      <c r="AF20" s="155">
        <f>'2020. 1.bevkiadfőössz. '!D57</f>
        <v>46152000</v>
      </c>
      <c r="AG20" s="155">
        <f>'2020. 1.bevkiadfőössz. '!E57</f>
        <v>0</v>
      </c>
      <c r="AH20" s="155">
        <f>'2020. 1.bevkiadfőössz. '!F57</f>
        <v>0</v>
      </c>
      <c r="AI20" s="155">
        <f>'2020. 1.bevkiadfőössz. '!G57</f>
        <v>0</v>
      </c>
      <c r="AJ20" s="155">
        <f>'2020. 1.bevkiadfőössz. '!H57</f>
        <v>0</v>
      </c>
      <c r="AK20" s="152">
        <f t="shared" si="14"/>
        <v>61368000</v>
      </c>
      <c r="AL20" s="152">
        <f t="shared" si="14"/>
        <v>46152000</v>
      </c>
    </row>
    <row r="21" spans="1:38" s="539" customFormat="1" ht="14.1" customHeight="1" x14ac:dyDescent="0.3">
      <c r="A21" s="48" t="s">
        <v>139</v>
      </c>
      <c r="B21" s="369" t="s">
        <v>147</v>
      </c>
      <c r="C21" s="538">
        <f>'2020. 1.bevkiadfőössz. '!C29-V21</f>
        <v>1073011000</v>
      </c>
      <c r="D21" s="538">
        <f>'2020. 1.bevkiadfőössz. '!D29-W21</f>
        <v>1061760339</v>
      </c>
      <c r="E21" s="96">
        <v>0</v>
      </c>
      <c r="F21" s="96"/>
      <c r="G21" s="94">
        <v>0</v>
      </c>
      <c r="H21" s="94"/>
      <c r="I21" s="97">
        <f t="shared" si="15"/>
        <v>1073011000</v>
      </c>
      <c r="J21" s="97">
        <f t="shared" si="15"/>
        <v>1061760339</v>
      </c>
      <c r="K21" s="369" t="s">
        <v>159</v>
      </c>
      <c r="L21" s="99">
        <v>0</v>
      </c>
      <c r="M21" s="99"/>
      <c r="N21" s="99">
        <v>0</v>
      </c>
      <c r="O21" s="99"/>
      <c r="P21" s="99">
        <v>0</v>
      </c>
      <c r="Q21" s="99"/>
      <c r="R21" s="194">
        <f t="shared" si="11"/>
        <v>0</v>
      </c>
      <c r="S21" s="194">
        <f t="shared" si="12"/>
        <v>0</v>
      </c>
      <c r="T21" s="48" t="s">
        <v>139</v>
      </c>
      <c r="U21" s="369" t="s">
        <v>147</v>
      </c>
      <c r="V21" s="96">
        <v>7925000</v>
      </c>
      <c r="W21" s="96">
        <v>8621350</v>
      </c>
      <c r="X21" s="96">
        <f>'2020. 1.bevkiadfőössz. '!E61</f>
        <v>0</v>
      </c>
      <c r="Y21" s="96">
        <f>'2020. 1.bevkiadfőössz. '!F61</f>
        <v>0</v>
      </c>
      <c r="Z21" s="96">
        <f>'2020. 1.bevkiadfőössz. '!G61</f>
        <v>0</v>
      </c>
      <c r="AA21" s="96">
        <f>'2020. 1.bevkiadfőössz. '!H61</f>
        <v>0</v>
      </c>
      <c r="AB21" s="97">
        <f t="shared" si="16"/>
        <v>7925000</v>
      </c>
      <c r="AC21" s="97">
        <f t="shared" si="17"/>
        <v>8621350</v>
      </c>
      <c r="AD21" s="369" t="s">
        <v>159</v>
      </c>
      <c r="AE21" s="99">
        <v>0</v>
      </c>
      <c r="AF21" s="155"/>
      <c r="AG21" s="99">
        <v>0</v>
      </c>
      <c r="AH21" s="99"/>
      <c r="AI21" s="99">
        <v>0</v>
      </c>
      <c r="AJ21" s="99"/>
      <c r="AK21" s="152">
        <f t="shared" si="14"/>
        <v>0</v>
      </c>
      <c r="AL21" s="152">
        <f t="shared" si="14"/>
        <v>0</v>
      </c>
    </row>
    <row r="22" spans="1:38" s="570" customFormat="1" ht="20.399999999999999" x14ac:dyDescent="0.3">
      <c r="A22" s="571" t="s">
        <v>25</v>
      </c>
      <c r="B22" s="370" t="s">
        <v>148</v>
      </c>
      <c r="C22" s="94">
        <f>C23+C24+C25</f>
        <v>0</v>
      </c>
      <c r="D22" s="94">
        <f t="shared" ref="D22:J22" si="18">D23+D24+D25</f>
        <v>300000000</v>
      </c>
      <c r="E22" s="94">
        <f t="shared" si="18"/>
        <v>0</v>
      </c>
      <c r="F22" s="94">
        <f t="shared" si="18"/>
        <v>0</v>
      </c>
      <c r="G22" s="94">
        <f t="shared" si="18"/>
        <v>0</v>
      </c>
      <c r="H22" s="94">
        <f t="shared" si="18"/>
        <v>0</v>
      </c>
      <c r="I22" s="94">
        <f t="shared" si="18"/>
        <v>0</v>
      </c>
      <c r="J22" s="94">
        <f t="shared" si="18"/>
        <v>300000000</v>
      </c>
      <c r="K22" s="370" t="s">
        <v>160</v>
      </c>
      <c r="L22" s="100">
        <v>0</v>
      </c>
      <c r="M22" s="100"/>
      <c r="N22" s="100">
        <v>0</v>
      </c>
      <c r="O22" s="100"/>
      <c r="P22" s="100">
        <v>0</v>
      </c>
      <c r="Q22" s="100"/>
      <c r="R22" s="194">
        <f t="shared" si="11"/>
        <v>0</v>
      </c>
      <c r="S22" s="194">
        <f t="shared" si="12"/>
        <v>0</v>
      </c>
      <c r="T22" s="571" t="s">
        <v>25</v>
      </c>
      <c r="U22" s="370" t="s">
        <v>148</v>
      </c>
      <c r="V22" s="94">
        <f>V23+V24+V25+V26+V27</f>
        <v>350000000</v>
      </c>
      <c r="W22" s="94">
        <f t="shared" ref="W22:AC22" si="19">W23+W24+W25+W26+W27</f>
        <v>350000000</v>
      </c>
      <c r="X22" s="94">
        <f t="shared" si="19"/>
        <v>0</v>
      </c>
      <c r="Y22" s="94">
        <f t="shared" si="19"/>
        <v>0</v>
      </c>
      <c r="Z22" s="94">
        <f t="shared" si="19"/>
        <v>0</v>
      </c>
      <c r="AA22" s="94">
        <f t="shared" si="19"/>
        <v>0</v>
      </c>
      <c r="AB22" s="94">
        <f t="shared" si="19"/>
        <v>350000000</v>
      </c>
      <c r="AC22" s="94">
        <f t="shared" si="19"/>
        <v>350000000</v>
      </c>
      <c r="AD22" s="370" t="s">
        <v>175</v>
      </c>
      <c r="AE22" s="100">
        <v>0</v>
      </c>
      <c r="AF22" s="154"/>
      <c r="AG22" s="100">
        <v>0</v>
      </c>
      <c r="AH22" s="100"/>
      <c r="AI22" s="100">
        <v>0</v>
      </c>
      <c r="AJ22" s="100"/>
      <c r="AK22" s="194">
        <f t="shared" si="14"/>
        <v>0</v>
      </c>
      <c r="AL22" s="194">
        <f t="shared" si="14"/>
        <v>0</v>
      </c>
    </row>
    <row r="23" spans="1:38" s="539" customFormat="1" x14ac:dyDescent="0.3">
      <c r="A23" s="48" t="s">
        <v>140</v>
      </c>
      <c r="B23" s="369" t="s">
        <v>515</v>
      </c>
      <c r="C23" s="96">
        <f>'2020. 1.bevkiadfőössz. '!C25</f>
        <v>0</v>
      </c>
      <c r="D23" s="538">
        <f>'2020. 1.bevkiadfőössz. '!D25</f>
        <v>300000000</v>
      </c>
      <c r="E23" s="96">
        <f>'2020. 1.bevkiadfőössz. '!E25</f>
        <v>0</v>
      </c>
      <c r="F23" s="96">
        <f>'2020. 1.bevkiadfőössz. '!F25</f>
        <v>0</v>
      </c>
      <c r="G23" s="96">
        <f>'2020. 1.bevkiadfőössz. '!G25</f>
        <v>0</v>
      </c>
      <c r="H23" s="96">
        <f>'2020. 1.bevkiadfőössz. '!H25</f>
        <v>0</v>
      </c>
      <c r="I23" s="97">
        <f>C23+E23+G23</f>
        <v>0</v>
      </c>
      <c r="J23" s="97">
        <f>D23+F23+H23</f>
        <v>300000000</v>
      </c>
      <c r="K23" s="369" t="s">
        <v>161</v>
      </c>
      <c r="L23" s="99"/>
      <c r="M23" s="99"/>
      <c r="N23" s="99">
        <v>0</v>
      </c>
      <c r="O23" s="99"/>
      <c r="P23" s="99">
        <v>0</v>
      </c>
      <c r="Q23" s="99"/>
      <c r="R23" s="194">
        <f t="shared" si="11"/>
        <v>0</v>
      </c>
      <c r="S23" s="194">
        <f t="shared" si="12"/>
        <v>0</v>
      </c>
      <c r="T23" s="48" t="s">
        <v>140</v>
      </c>
      <c r="U23" s="369" t="s">
        <v>168</v>
      </c>
      <c r="V23" s="96">
        <f>'2020. 1.bevkiadfőössz. '!C24</f>
        <v>350000000</v>
      </c>
      <c r="W23" s="538">
        <f>'2020. 1.bevkiadfőössz. '!D24</f>
        <v>350000000</v>
      </c>
      <c r="X23" s="96">
        <f>'2020. 1.bevkiadfőössz. '!E24</f>
        <v>0</v>
      </c>
      <c r="Y23" s="96">
        <f>'2020. 1.bevkiadfőössz. '!F24</f>
        <v>0</v>
      </c>
      <c r="Z23" s="96">
        <f>'2020. 1.bevkiadfőössz. '!G24</f>
        <v>0</v>
      </c>
      <c r="AA23" s="96">
        <f>'2020. 1.bevkiadfőössz. '!H24</f>
        <v>0</v>
      </c>
      <c r="AB23" s="97">
        <f>V23+X23+Z23</f>
        <v>350000000</v>
      </c>
      <c r="AC23" s="97">
        <f>W23+Y23+AA23</f>
        <v>350000000</v>
      </c>
      <c r="AD23" s="369" t="s">
        <v>161</v>
      </c>
      <c r="AE23" s="99">
        <v>0</v>
      </c>
      <c r="AF23" s="155"/>
      <c r="AG23" s="99">
        <v>0</v>
      </c>
      <c r="AH23" s="99"/>
      <c r="AI23" s="99">
        <v>0</v>
      </c>
      <c r="AJ23" s="99"/>
      <c r="AK23" s="152">
        <f t="shared" si="14"/>
        <v>0</v>
      </c>
      <c r="AL23" s="152">
        <f t="shared" si="14"/>
        <v>0</v>
      </c>
    </row>
    <row r="24" spans="1:38" s="539" customFormat="1" x14ac:dyDescent="0.3">
      <c r="A24" s="48" t="s">
        <v>141</v>
      </c>
      <c r="B24" s="373" t="s">
        <v>149</v>
      </c>
      <c r="C24" s="150">
        <v>0</v>
      </c>
      <c r="D24" s="150"/>
      <c r="E24" s="150">
        <v>0</v>
      </c>
      <c r="F24" s="150"/>
      <c r="G24" s="150">
        <v>0</v>
      </c>
      <c r="H24" s="150"/>
      <c r="I24" s="97">
        <f t="shared" si="15"/>
        <v>0</v>
      </c>
      <c r="J24" s="97">
        <f t="shared" si="15"/>
        <v>0</v>
      </c>
      <c r="K24" s="373" t="s">
        <v>119</v>
      </c>
      <c r="L24" s="96">
        <f>+C21</f>
        <v>1073011000</v>
      </c>
      <c r="M24" s="96">
        <f>+D21</f>
        <v>1061760339</v>
      </c>
      <c r="N24" s="155">
        <v>0</v>
      </c>
      <c r="O24" s="155"/>
      <c r="P24" s="154">
        <v>0</v>
      </c>
      <c r="Q24" s="154"/>
      <c r="R24" s="194">
        <f t="shared" si="11"/>
        <v>1073011000</v>
      </c>
      <c r="S24" s="194">
        <f t="shared" si="12"/>
        <v>1061760339</v>
      </c>
      <c r="T24" s="48" t="s">
        <v>141</v>
      </c>
      <c r="U24" s="373" t="s">
        <v>169</v>
      </c>
      <c r="V24" s="150">
        <v>0</v>
      </c>
      <c r="W24" s="150"/>
      <c r="X24" s="150">
        <v>0</v>
      </c>
      <c r="Y24" s="150"/>
      <c r="Z24" s="150">
        <v>0</v>
      </c>
      <c r="AA24" s="150"/>
      <c r="AB24" s="97">
        <f t="shared" ref="AB24:AB27" si="20">V24+X24+Z24</f>
        <v>0</v>
      </c>
      <c r="AC24" s="97"/>
      <c r="AD24" s="373" t="s">
        <v>176</v>
      </c>
      <c r="AE24" s="155">
        <v>0</v>
      </c>
      <c r="AF24" s="155"/>
      <c r="AG24" s="155">
        <v>0</v>
      </c>
      <c r="AH24" s="155"/>
      <c r="AI24" s="155">
        <v>0</v>
      </c>
      <c r="AJ24" s="155"/>
      <c r="AK24" s="152">
        <f t="shared" si="14"/>
        <v>0</v>
      </c>
      <c r="AL24" s="152">
        <f t="shared" si="14"/>
        <v>0</v>
      </c>
    </row>
    <row r="25" spans="1:38" s="539" customFormat="1" ht="20.399999999999999" x14ac:dyDescent="0.3">
      <c r="A25" s="48" t="s">
        <v>142</v>
      </c>
      <c r="B25" s="369" t="s">
        <v>150</v>
      </c>
      <c r="C25" s="96">
        <v>0</v>
      </c>
      <c r="D25" s="96"/>
      <c r="E25" s="96">
        <v>0</v>
      </c>
      <c r="F25" s="96"/>
      <c r="G25" s="96">
        <v>0</v>
      </c>
      <c r="H25" s="96"/>
      <c r="I25" s="97">
        <f t="shared" si="15"/>
        <v>0</v>
      </c>
      <c r="J25" s="97">
        <f t="shared" si="15"/>
        <v>0</v>
      </c>
      <c r="K25" s="373" t="s">
        <v>367</v>
      </c>
      <c r="L25" s="96">
        <f>'2020. 1.bevkiadfőössz. '!C59</f>
        <v>32301000</v>
      </c>
      <c r="M25" s="538">
        <f>'2020. 1.bevkiadfőössz. '!D59</f>
        <v>32462142</v>
      </c>
      <c r="N25" s="96">
        <f>'2020. 1.bevkiadfőössz. '!E59</f>
        <v>0</v>
      </c>
      <c r="O25" s="96">
        <f>'2020. 1.bevkiadfőössz. '!F59</f>
        <v>0</v>
      </c>
      <c r="P25" s="96">
        <f>'2020. 1.bevkiadfőössz. '!G59</f>
        <v>0</v>
      </c>
      <c r="Q25" s="96">
        <f>'2020. 1.bevkiadfőössz. '!H59</f>
        <v>0</v>
      </c>
      <c r="R25" s="194">
        <f>L25+N25+P25</f>
        <v>32301000</v>
      </c>
      <c r="S25" s="194">
        <f>M25+O25+Q25</f>
        <v>32462142</v>
      </c>
      <c r="T25" s="48" t="s">
        <v>142</v>
      </c>
      <c r="U25" s="369" t="s">
        <v>170</v>
      </c>
      <c r="V25" s="96">
        <v>0</v>
      </c>
      <c r="W25" s="96"/>
      <c r="X25" s="96">
        <v>0</v>
      </c>
      <c r="Y25" s="96"/>
      <c r="Z25" s="96">
        <v>0</v>
      </c>
      <c r="AA25" s="96"/>
      <c r="AB25" s="97">
        <f t="shared" si="20"/>
        <v>0</v>
      </c>
      <c r="AC25" s="97"/>
      <c r="AD25" s="373" t="s">
        <v>119</v>
      </c>
      <c r="AE25" s="100">
        <f>+V21</f>
        <v>7925000</v>
      </c>
      <c r="AF25" s="154">
        <f>+W21</f>
        <v>8621350</v>
      </c>
      <c r="AG25" s="100"/>
      <c r="AH25" s="100"/>
      <c r="AI25" s="100"/>
      <c r="AJ25" s="100"/>
      <c r="AK25" s="152">
        <f t="shared" ref="AK25" si="21">AE25+AG25+AI25</f>
        <v>7925000</v>
      </c>
      <c r="AL25" s="152">
        <f t="shared" ref="AL25" si="22">AF25+AH25+AJ25</f>
        <v>8621350</v>
      </c>
    </row>
    <row r="26" spans="1:38" s="540" customFormat="1" ht="14.1" customHeight="1" x14ac:dyDescent="0.3">
      <c r="A26" s="374"/>
      <c r="B26" s="543"/>
      <c r="C26" s="99"/>
      <c r="D26" s="99"/>
      <c r="E26" s="99"/>
      <c r="F26" s="99"/>
      <c r="G26" s="99"/>
      <c r="H26" s="99"/>
      <c r="I26" s="97"/>
      <c r="J26" s="97"/>
      <c r="K26" s="363"/>
      <c r="L26" s="95"/>
      <c r="M26" s="95"/>
      <c r="N26" s="152"/>
      <c r="O26" s="152"/>
      <c r="P26" s="152"/>
      <c r="Q26" s="152"/>
      <c r="R26" s="194"/>
      <c r="S26" s="194"/>
      <c r="T26" s="374"/>
      <c r="U26" s="363" t="s">
        <v>171</v>
      </c>
      <c r="V26" s="99">
        <v>0</v>
      </c>
      <c r="W26" s="99"/>
      <c r="X26" s="99">
        <v>0</v>
      </c>
      <c r="Y26" s="99"/>
      <c r="Z26" s="99">
        <v>0</v>
      </c>
      <c r="AA26" s="99"/>
      <c r="AB26" s="97">
        <f t="shared" si="20"/>
        <v>0</v>
      </c>
      <c r="AC26" s="97"/>
      <c r="AD26" s="363"/>
      <c r="AE26" s="95"/>
      <c r="AF26" s="95"/>
      <c r="AG26" s="157"/>
      <c r="AH26" s="157"/>
      <c r="AI26" s="157"/>
      <c r="AJ26" s="157"/>
      <c r="AK26" s="152"/>
      <c r="AL26" s="152"/>
    </row>
    <row r="27" spans="1:38" s="540" customFormat="1" ht="14.1" customHeight="1" x14ac:dyDescent="0.3">
      <c r="A27" s="374"/>
      <c r="B27" s="375"/>
      <c r="C27" s="99"/>
      <c r="D27" s="99"/>
      <c r="E27" s="99"/>
      <c r="F27" s="99"/>
      <c r="G27" s="99"/>
      <c r="H27" s="99"/>
      <c r="I27" s="97"/>
      <c r="J27" s="97"/>
      <c r="K27" s="375"/>
      <c r="L27" s="100"/>
      <c r="M27" s="100"/>
      <c r="N27" s="100"/>
      <c r="O27" s="100"/>
      <c r="P27" s="100"/>
      <c r="Q27" s="100"/>
      <c r="R27" s="194"/>
      <c r="S27" s="194"/>
      <c r="T27" s="374"/>
      <c r="U27" s="363" t="s">
        <v>150</v>
      </c>
      <c r="V27" s="156">
        <v>0</v>
      </c>
      <c r="W27" s="156"/>
      <c r="X27" s="99">
        <v>0</v>
      </c>
      <c r="Y27" s="99"/>
      <c r="Z27" s="99">
        <v>0</v>
      </c>
      <c r="AA27" s="99"/>
      <c r="AB27" s="97">
        <f t="shared" si="20"/>
        <v>0</v>
      </c>
      <c r="AC27" s="97"/>
      <c r="AD27" s="375"/>
      <c r="AE27" s="100"/>
      <c r="AF27" s="100"/>
      <c r="AG27" s="100"/>
      <c r="AH27" s="100"/>
      <c r="AI27" s="100"/>
      <c r="AJ27" s="100"/>
      <c r="AK27" s="152"/>
      <c r="AL27" s="152"/>
    </row>
    <row r="28" spans="1:38" s="248" customFormat="1" ht="30.6" x14ac:dyDescent="0.3">
      <c r="A28" s="377" t="s">
        <v>26</v>
      </c>
      <c r="B28" s="370" t="s">
        <v>151</v>
      </c>
      <c r="C28" s="100">
        <f>C17+C22</f>
        <v>1073011000</v>
      </c>
      <c r="D28" s="100">
        <f t="shared" ref="D28:J28" si="23">D17+D22</f>
        <v>1361760339</v>
      </c>
      <c r="E28" s="100">
        <f t="shared" si="23"/>
        <v>0</v>
      </c>
      <c r="F28" s="100">
        <f t="shared" si="23"/>
        <v>0</v>
      </c>
      <c r="G28" s="100">
        <f t="shared" si="23"/>
        <v>0</v>
      </c>
      <c r="H28" s="100">
        <f t="shared" si="23"/>
        <v>0</v>
      </c>
      <c r="I28" s="100">
        <f t="shared" si="23"/>
        <v>1073011000</v>
      </c>
      <c r="J28" s="100">
        <f t="shared" si="23"/>
        <v>1361760339</v>
      </c>
      <c r="K28" s="370" t="s">
        <v>152</v>
      </c>
      <c r="L28" s="100">
        <f>SUM(L17:L27)</f>
        <v>1105312000</v>
      </c>
      <c r="M28" s="100">
        <f>SUM(M17:M27)</f>
        <v>1394222481</v>
      </c>
      <c r="N28" s="100">
        <f t="shared" ref="N28:Q28" si="24">SUM(N17:N27)</f>
        <v>0</v>
      </c>
      <c r="O28" s="100">
        <f t="shared" si="24"/>
        <v>0</v>
      </c>
      <c r="P28" s="100">
        <f t="shared" si="24"/>
        <v>0</v>
      </c>
      <c r="Q28" s="100">
        <f t="shared" si="24"/>
        <v>0</v>
      </c>
      <c r="R28" s="100">
        <f t="shared" ref="R28" si="25">SUM(R17:R27)</f>
        <v>1105312000</v>
      </c>
      <c r="S28" s="100">
        <f t="shared" ref="S28" si="26">SUM(S17:S27)</f>
        <v>1394222481</v>
      </c>
      <c r="T28" s="377" t="s">
        <v>26</v>
      </c>
      <c r="U28" s="370" t="s">
        <v>172</v>
      </c>
      <c r="V28" s="100">
        <f>V17+V22</f>
        <v>683925000</v>
      </c>
      <c r="W28" s="100">
        <f t="shared" ref="W28:AA28" si="27">W17+W22</f>
        <v>629456289</v>
      </c>
      <c r="X28" s="100">
        <f t="shared" si="27"/>
        <v>0</v>
      </c>
      <c r="Y28" s="100">
        <f t="shared" si="27"/>
        <v>0</v>
      </c>
      <c r="Z28" s="100">
        <f t="shared" si="27"/>
        <v>0</v>
      </c>
      <c r="AA28" s="100">
        <f t="shared" si="27"/>
        <v>0</v>
      </c>
      <c r="AB28" s="97">
        <f>V28+X28+Z28</f>
        <v>683925000</v>
      </c>
      <c r="AC28" s="97">
        <f>W28+Y28+AA28</f>
        <v>629456289</v>
      </c>
      <c r="AD28" s="370" t="s">
        <v>177</v>
      </c>
      <c r="AE28" s="100">
        <f>SUM(AE17:AE27)</f>
        <v>69293000</v>
      </c>
      <c r="AF28" s="100">
        <f t="shared" ref="AF28:AK28" si="28">SUM(AF17:AF27)</f>
        <v>54773350</v>
      </c>
      <c r="AG28" s="100">
        <f t="shared" si="28"/>
        <v>0</v>
      </c>
      <c r="AH28" s="100">
        <f t="shared" si="28"/>
        <v>0</v>
      </c>
      <c r="AI28" s="100">
        <f t="shared" si="28"/>
        <v>0</v>
      </c>
      <c r="AJ28" s="100">
        <f t="shared" si="28"/>
        <v>0</v>
      </c>
      <c r="AK28" s="100">
        <f t="shared" si="28"/>
        <v>69293000</v>
      </c>
      <c r="AL28" s="100">
        <f>SUM(AL17:AL27)</f>
        <v>54773350</v>
      </c>
    </row>
    <row r="29" spans="1:38" s="248" customFormat="1" ht="14.1" customHeight="1" x14ac:dyDescent="0.3">
      <c r="A29" s="572" t="s">
        <v>27</v>
      </c>
      <c r="B29" s="376" t="s">
        <v>153</v>
      </c>
      <c r="C29" s="194">
        <f>C16+C28</f>
        <v>3351176000</v>
      </c>
      <c r="D29" s="194">
        <f t="shared" ref="D29:I29" si="29">D16+D28</f>
        <v>3598925339</v>
      </c>
      <c r="E29" s="194">
        <f t="shared" si="29"/>
        <v>99856000</v>
      </c>
      <c r="F29" s="194">
        <f t="shared" si="29"/>
        <v>98093500</v>
      </c>
      <c r="G29" s="194">
        <f t="shared" si="29"/>
        <v>0</v>
      </c>
      <c r="H29" s="194">
        <f t="shared" si="29"/>
        <v>0</v>
      </c>
      <c r="I29" s="194">
        <f t="shared" si="29"/>
        <v>3451032000</v>
      </c>
      <c r="J29" s="194">
        <f>J16+J28</f>
        <v>3697018839</v>
      </c>
      <c r="K29" s="376" t="s">
        <v>164</v>
      </c>
      <c r="L29" s="100">
        <f>L16+L28</f>
        <v>3284055000</v>
      </c>
      <c r="M29" s="100">
        <f t="shared" ref="M29:Q29" si="30">M16+M28</f>
        <v>3634467145</v>
      </c>
      <c r="N29" s="100">
        <f t="shared" si="30"/>
        <v>99856000</v>
      </c>
      <c r="O29" s="100">
        <f t="shared" si="30"/>
        <v>98093500</v>
      </c>
      <c r="P29" s="100">
        <f t="shared" si="30"/>
        <v>0</v>
      </c>
      <c r="Q29" s="100">
        <f t="shared" si="30"/>
        <v>0</v>
      </c>
      <c r="R29" s="100">
        <f>R16+R28</f>
        <v>3383911000</v>
      </c>
      <c r="S29" s="100">
        <f>S16+S28</f>
        <v>3732560645</v>
      </c>
      <c r="T29" s="572" t="s">
        <v>27</v>
      </c>
      <c r="U29" s="376" t="s">
        <v>153</v>
      </c>
      <c r="V29" s="194">
        <f>V16+V28</f>
        <v>1675925000</v>
      </c>
      <c r="W29" s="194">
        <f t="shared" ref="W29:AA29" si="31">W16+W28</f>
        <v>1146477726</v>
      </c>
      <c r="X29" s="194">
        <f t="shared" si="31"/>
        <v>0</v>
      </c>
      <c r="Y29" s="194">
        <f t="shared" si="31"/>
        <v>0</v>
      </c>
      <c r="Z29" s="194">
        <f t="shared" si="31"/>
        <v>0</v>
      </c>
      <c r="AA29" s="194">
        <f t="shared" si="31"/>
        <v>0</v>
      </c>
      <c r="AB29" s="97">
        <f>V29+X29+Z29</f>
        <v>1675925000</v>
      </c>
      <c r="AC29" s="97">
        <f>W29+Y29+AA29</f>
        <v>1146477726</v>
      </c>
      <c r="AD29" s="376" t="s">
        <v>164</v>
      </c>
      <c r="AE29" s="100">
        <f>+AE16+AE28</f>
        <v>1743046000</v>
      </c>
      <c r="AF29" s="100">
        <f t="shared" ref="AF29:AL29" si="32">+AF16+AF28</f>
        <v>1110935920</v>
      </c>
      <c r="AG29" s="100">
        <f t="shared" si="32"/>
        <v>0</v>
      </c>
      <c r="AH29" s="100">
        <f t="shared" si="32"/>
        <v>0</v>
      </c>
      <c r="AI29" s="100">
        <f t="shared" si="32"/>
        <v>0</v>
      </c>
      <c r="AJ29" s="100">
        <f t="shared" si="32"/>
        <v>0</v>
      </c>
      <c r="AK29" s="100">
        <f t="shared" si="32"/>
        <v>1743046000</v>
      </c>
      <c r="AL29" s="100">
        <f t="shared" si="32"/>
        <v>1110935920</v>
      </c>
    </row>
    <row r="30" spans="1:38" s="609" customFormat="1" ht="14.1" customHeight="1" x14ac:dyDescent="0.3">
      <c r="A30" s="606" t="s">
        <v>28</v>
      </c>
      <c r="B30" s="607" t="s">
        <v>516</v>
      </c>
      <c r="C30" s="608">
        <f>+C21</f>
        <v>1073011000</v>
      </c>
      <c r="D30" s="608">
        <f t="shared" ref="D30:J30" si="33">+D21</f>
        <v>1061760339</v>
      </c>
      <c r="E30" s="608">
        <f t="shared" si="33"/>
        <v>0</v>
      </c>
      <c r="F30" s="608">
        <f t="shared" si="33"/>
        <v>0</v>
      </c>
      <c r="G30" s="608">
        <f t="shared" si="33"/>
        <v>0</v>
      </c>
      <c r="H30" s="608">
        <f t="shared" si="33"/>
        <v>0</v>
      </c>
      <c r="I30" s="608">
        <f t="shared" si="33"/>
        <v>1073011000</v>
      </c>
      <c r="J30" s="608">
        <f t="shared" si="33"/>
        <v>1061760339</v>
      </c>
      <c r="K30" s="607" t="s">
        <v>516</v>
      </c>
      <c r="L30" s="608">
        <f>L24</f>
        <v>1073011000</v>
      </c>
      <c r="M30" s="608">
        <f t="shared" ref="M30:S30" si="34">M24</f>
        <v>1061760339</v>
      </c>
      <c r="N30" s="608">
        <f t="shared" si="34"/>
        <v>0</v>
      </c>
      <c r="O30" s="608">
        <f t="shared" si="34"/>
        <v>0</v>
      </c>
      <c r="P30" s="608">
        <f t="shared" si="34"/>
        <v>0</v>
      </c>
      <c r="Q30" s="608">
        <f t="shared" si="34"/>
        <v>0</v>
      </c>
      <c r="R30" s="608">
        <f t="shared" si="34"/>
        <v>1073011000</v>
      </c>
      <c r="S30" s="608">
        <f t="shared" si="34"/>
        <v>1061760339</v>
      </c>
      <c r="T30" s="606" t="s">
        <v>28</v>
      </c>
      <c r="U30" s="607" t="s">
        <v>516</v>
      </c>
      <c r="V30" s="153">
        <f>V21+V27</f>
        <v>7925000</v>
      </c>
      <c r="W30" s="153">
        <f t="shared" ref="W30:AC30" si="35">W21+W27</f>
        <v>8621350</v>
      </c>
      <c r="X30" s="153">
        <f t="shared" si="35"/>
        <v>0</v>
      </c>
      <c r="Y30" s="153">
        <f t="shared" si="35"/>
        <v>0</v>
      </c>
      <c r="Z30" s="153">
        <f t="shared" si="35"/>
        <v>0</v>
      </c>
      <c r="AA30" s="153">
        <f t="shared" si="35"/>
        <v>0</v>
      </c>
      <c r="AB30" s="153">
        <f t="shared" si="35"/>
        <v>7925000</v>
      </c>
      <c r="AC30" s="153">
        <f t="shared" si="35"/>
        <v>8621350</v>
      </c>
      <c r="AD30" s="607" t="s">
        <v>516</v>
      </c>
      <c r="AE30" s="153">
        <f>AE25</f>
        <v>7925000</v>
      </c>
      <c r="AF30" s="153">
        <f t="shared" ref="AF30:AL30" si="36">AF25</f>
        <v>8621350</v>
      </c>
      <c r="AG30" s="153">
        <f t="shared" si="36"/>
        <v>0</v>
      </c>
      <c r="AH30" s="153">
        <f t="shared" si="36"/>
        <v>0</v>
      </c>
      <c r="AI30" s="153">
        <f t="shared" si="36"/>
        <v>0</v>
      </c>
      <c r="AJ30" s="153">
        <f t="shared" si="36"/>
        <v>0</v>
      </c>
      <c r="AK30" s="153">
        <f t="shared" si="36"/>
        <v>7925000</v>
      </c>
      <c r="AL30" s="153">
        <f t="shared" si="36"/>
        <v>8621350</v>
      </c>
    </row>
    <row r="31" spans="1:38" s="609" customFormat="1" ht="14.1" customHeight="1" x14ac:dyDescent="0.3">
      <c r="A31" s="610" t="s">
        <v>29</v>
      </c>
      <c r="B31" s="611" t="s">
        <v>517</v>
      </c>
      <c r="C31" s="612">
        <f>C29-C30</f>
        <v>2278165000</v>
      </c>
      <c r="D31" s="612">
        <f t="shared" ref="D31:J31" si="37">D29-D30</f>
        <v>2537165000</v>
      </c>
      <c r="E31" s="612">
        <f t="shared" si="37"/>
        <v>99856000</v>
      </c>
      <c r="F31" s="612">
        <f t="shared" si="37"/>
        <v>98093500</v>
      </c>
      <c r="G31" s="612">
        <f t="shared" si="37"/>
        <v>0</v>
      </c>
      <c r="H31" s="612">
        <f t="shared" si="37"/>
        <v>0</v>
      </c>
      <c r="I31" s="612">
        <f t="shared" si="37"/>
        <v>2378021000</v>
      </c>
      <c r="J31" s="612">
        <f t="shared" si="37"/>
        <v>2635258500</v>
      </c>
      <c r="K31" s="613" t="s">
        <v>154</v>
      </c>
      <c r="L31" s="612">
        <f>L29-L30</f>
        <v>2211044000</v>
      </c>
      <c r="M31" s="612">
        <f t="shared" ref="M31:Q31" si="38">M29-M30</f>
        <v>2572706806</v>
      </c>
      <c r="N31" s="612">
        <f t="shared" si="38"/>
        <v>99856000</v>
      </c>
      <c r="O31" s="612">
        <f t="shared" si="38"/>
        <v>98093500</v>
      </c>
      <c r="P31" s="612">
        <f t="shared" si="38"/>
        <v>0</v>
      </c>
      <c r="Q31" s="612">
        <f t="shared" si="38"/>
        <v>0</v>
      </c>
      <c r="R31" s="612">
        <f>R29-R30</f>
        <v>2310900000</v>
      </c>
      <c r="S31" s="612">
        <f>S29-S30</f>
        <v>2670800306</v>
      </c>
      <c r="T31" s="610" t="s">
        <v>29</v>
      </c>
      <c r="U31" s="611" t="s">
        <v>154</v>
      </c>
      <c r="V31" s="612">
        <f>V29-V30</f>
        <v>1668000000</v>
      </c>
      <c r="W31" s="612">
        <f t="shared" ref="W31:AC31" si="39">W29-W30</f>
        <v>1137856376</v>
      </c>
      <c r="X31" s="612">
        <f t="shared" si="39"/>
        <v>0</v>
      </c>
      <c r="Y31" s="612">
        <f t="shared" si="39"/>
        <v>0</v>
      </c>
      <c r="Z31" s="612">
        <f t="shared" si="39"/>
        <v>0</v>
      </c>
      <c r="AA31" s="612">
        <f t="shared" si="39"/>
        <v>0</v>
      </c>
      <c r="AB31" s="612">
        <f t="shared" si="39"/>
        <v>1668000000</v>
      </c>
      <c r="AC31" s="612">
        <f t="shared" si="39"/>
        <v>1137856376</v>
      </c>
      <c r="AD31" s="613" t="s">
        <v>154</v>
      </c>
      <c r="AE31" s="612">
        <f>AE29-AE30</f>
        <v>1735121000</v>
      </c>
      <c r="AF31" s="612">
        <f t="shared" ref="AF31:AL31" si="40">AF29-AF30</f>
        <v>1102314570</v>
      </c>
      <c r="AG31" s="612">
        <f t="shared" si="40"/>
        <v>0</v>
      </c>
      <c r="AH31" s="612">
        <f t="shared" si="40"/>
        <v>0</v>
      </c>
      <c r="AI31" s="612">
        <f t="shared" si="40"/>
        <v>0</v>
      </c>
      <c r="AJ31" s="612">
        <f t="shared" si="40"/>
        <v>0</v>
      </c>
      <c r="AK31" s="612">
        <f t="shared" si="40"/>
        <v>1735121000</v>
      </c>
      <c r="AL31" s="612">
        <f t="shared" si="40"/>
        <v>1102314570</v>
      </c>
    </row>
    <row r="32" spans="1:38" s="540" customFormat="1" ht="14.1" customHeight="1" x14ac:dyDescent="0.3">
      <c r="A32" s="135"/>
      <c r="B32" s="181"/>
      <c r="C32" s="151"/>
      <c r="D32" s="151"/>
      <c r="E32" s="151"/>
      <c r="F32" s="151"/>
      <c r="G32" s="151"/>
      <c r="H32" s="151"/>
      <c r="I32" s="578"/>
      <c r="J32" s="578"/>
      <c r="K32" s="181"/>
      <c r="L32" s="151"/>
      <c r="M32" s="151"/>
      <c r="N32" s="151"/>
      <c r="O32" s="151"/>
      <c r="P32" s="151"/>
      <c r="Q32" s="151"/>
      <c r="R32" s="575"/>
      <c r="S32" s="575"/>
      <c r="T32" s="135"/>
      <c r="U32" s="181"/>
      <c r="V32" s="39"/>
      <c r="W32" s="39"/>
      <c r="X32" s="39"/>
      <c r="Y32" s="39"/>
      <c r="Z32" s="39"/>
      <c r="AA32" s="39"/>
      <c r="AB32" s="573"/>
      <c r="AC32" s="573"/>
      <c r="AD32" s="181"/>
      <c r="AE32" s="39"/>
      <c r="AF32" s="39"/>
      <c r="AG32" s="39"/>
      <c r="AH32" s="39"/>
      <c r="AI32" s="39"/>
      <c r="AJ32" s="39"/>
      <c r="AK32" s="48"/>
      <c r="AL32" s="581"/>
    </row>
    <row r="33" spans="1:38" s="540" customFormat="1" ht="20.399999999999999" x14ac:dyDescent="0.3">
      <c r="A33" s="433"/>
      <c r="B33" s="370"/>
      <c r="C33" s="96"/>
      <c r="D33" s="96"/>
      <c r="E33" s="96"/>
      <c r="F33" s="96"/>
      <c r="G33" s="96"/>
      <c r="H33" s="96"/>
      <c r="I33" s="97"/>
      <c r="J33" s="97"/>
      <c r="K33" s="342" t="s">
        <v>287</v>
      </c>
      <c r="L33" s="100"/>
      <c r="M33" s="100"/>
      <c r="N33" s="100"/>
      <c r="O33" s="100"/>
      <c r="P33" s="100">
        <f>+R33/R31</f>
        <v>2.9045393569604915E-2</v>
      </c>
      <c r="Q33" s="100"/>
      <c r="R33" s="194">
        <f>+I31-R31</f>
        <v>67121000</v>
      </c>
      <c r="S33" s="194">
        <f>+J31-S31</f>
        <v>-35541806</v>
      </c>
      <c r="T33" s="433"/>
      <c r="U33" s="370"/>
      <c r="V33" s="94"/>
      <c r="W33" s="94"/>
      <c r="X33" s="96"/>
      <c r="Y33" s="96"/>
      <c r="Z33" s="96"/>
      <c r="AA33" s="96"/>
      <c r="AB33" s="97"/>
      <c r="AC33" s="97"/>
      <c r="AD33" s="378" t="s">
        <v>288</v>
      </c>
      <c r="AE33" s="99"/>
      <c r="AF33" s="99"/>
      <c r="AG33" s="99"/>
      <c r="AH33" s="99"/>
      <c r="AI33" s="99"/>
      <c r="AJ33" s="99"/>
      <c r="AK33" s="194">
        <f>+AB31-AK31</f>
        <v>-67121000</v>
      </c>
      <c r="AL33" s="194">
        <f>+AC31-AL31</f>
        <v>35541806</v>
      </c>
    </row>
    <row r="34" spans="1:38" x14ac:dyDescent="0.3">
      <c r="A34" s="34"/>
      <c r="B34" s="77"/>
      <c r="C34" s="78"/>
      <c r="D34" s="78"/>
      <c r="E34" s="79"/>
      <c r="F34" s="79"/>
      <c r="G34" s="79"/>
      <c r="H34" s="79"/>
      <c r="I34" s="75"/>
      <c r="J34" s="75"/>
      <c r="K34" s="80"/>
      <c r="L34" s="59"/>
      <c r="M34" s="59"/>
      <c r="N34" s="59"/>
      <c r="O34" s="59"/>
      <c r="P34" s="59"/>
      <c r="Q34" s="59"/>
      <c r="R34" s="576"/>
      <c r="S34" s="576"/>
      <c r="T34" s="133"/>
      <c r="U34" s="77"/>
      <c r="V34" s="78"/>
      <c r="W34" s="78"/>
      <c r="X34" s="79"/>
      <c r="Y34" s="79"/>
      <c r="Z34" s="79"/>
      <c r="AA34" s="79"/>
      <c r="AB34" s="75"/>
      <c r="AC34" s="75"/>
      <c r="AD34" s="80"/>
      <c r="AE34" s="59"/>
      <c r="AF34" s="59"/>
      <c r="AG34" s="59"/>
      <c r="AH34" s="59"/>
      <c r="AI34" s="59"/>
      <c r="AJ34" s="59"/>
      <c r="AK34" s="582"/>
      <c r="AL34" s="582"/>
    </row>
    <row r="35" spans="1:38" x14ac:dyDescent="0.3">
      <c r="A35" s="34"/>
      <c r="B35" s="77"/>
      <c r="C35" s="78"/>
      <c r="D35" s="78"/>
      <c r="E35" s="79"/>
      <c r="F35" s="79"/>
      <c r="G35" s="79"/>
      <c r="H35" s="79"/>
      <c r="I35" s="75"/>
      <c r="J35" s="75"/>
      <c r="K35" s="583">
        <f>+J29+AC29</f>
        <v>4843496565</v>
      </c>
      <c r="L35" s="59"/>
      <c r="M35" s="59"/>
      <c r="N35" s="59"/>
      <c r="O35" s="59"/>
      <c r="P35" s="59"/>
      <c r="Q35" s="59"/>
      <c r="R35" s="576"/>
      <c r="S35" s="576"/>
    </row>
    <row r="36" spans="1:38" x14ac:dyDescent="0.3">
      <c r="A36" s="34"/>
      <c r="B36" s="77"/>
      <c r="C36" s="78"/>
      <c r="D36" s="78"/>
      <c r="E36" s="79"/>
      <c r="F36" s="79"/>
      <c r="G36" s="79"/>
      <c r="H36" s="79"/>
      <c r="I36" s="75"/>
      <c r="J36" s="75"/>
      <c r="K36" s="587">
        <f>+J31+AC31</f>
        <v>3773114876</v>
      </c>
      <c r="L36" s="59"/>
      <c r="M36" s="59"/>
      <c r="N36" s="59"/>
      <c r="O36" s="59"/>
      <c r="P36" s="59"/>
      <c r="Q36" s="59"/>
      <c r="R36" s="576"/>
      <c r="S36" s="576"/>
    </row>
    <row r="37" spans="1:38" x14ac:dyDescent="0.3">
      <c r="A37" s="34"/>
      <c r="B37" s="77"/>
      <c r="C37" s="78"/>
      <c r="D37" s="78"/>
      <c r="E37" s="79"/>
      <c r="F37" s="79"/>
      <c r="G37" s="79"/>
      <c r="H37" s="79"/>
      <c r="I37" s="75"/>
      <c r="J37" s="75"/>
      <c r="K37" s="583">
        <f>+S29+AL29</f>
        <v>4843496565</v>
      </c>
      <c r="L37" s="59"/>
      <c r="M37" s="59"/>
      <c r="N37" s="59"/>
      <c r="O37" s="59"/>
      <c r="P37" s="59"/>
      <c r="Q37" s="59"/>
      <c r="R37" s="576"/>
      <c r="S37" s="576"/>
    </row>
    <row r="38" spans="1:38" x14ac:dyDescent="0.3">
      <c r="A38" s="34"/>
      <c r="B38" s="81"/>
      <c r="C38" s="45"/>
      <c r="D38" s="85"/>
      <c r="E38" s="78"/>
      <c r="F38" s="78"/>
      <c r="G38" s="78"/>
      <c r="H38" s="78"/>
      <c r="I38" s="292"/>
      <c r="J38" s="292"/>
      <c r="K38" s="587">
        <f>+S31+AL31</f>
        <v>3773114876</v>
      </c>
      <c r="L38" s="45"/>
      <c r="M38" s="85"/>
      <c r="N38" s="57"/>
      <c r="O38" s="57"/>
      <c r="P38" s="57"/>
      <c r="Q38" s="57"/>
      <c r="R38" s="576"/>
      <c r="S38" s="576"/>
    </row>
    <row r="39" spans="1:38" x14ac:dyDescent="0.3">
      <c r="A39" s="34"/>
      <c r="B39" s="77"/>
      <c r="C39" s="78"/>
      <c r="D39" s="78"/>
      <c r="E39" s="79"/>
      <c r="F39" s="79"/>
      <c r="G39" s="79"/>
      <c r="H39" s="79"/>
      <c r="I39" s="57"/>
      <c r="J39" s="57"/>
      <c r="K39" s="583">
        <f>+K35-K37</f>
        <v>0</v>
      </c>
      <c r="L39" s="59"/>
      <c r="M39" s="59"/>
      <c r="N39" s="59"/>
      <c r="O39" s="59"/>
      <c r="P39" s="59"/>
      <c r="Q39" s="59"/>
      <c r="R39" s="577"/>
      <c r="S39" s="577"/>
    </row>
    <row r="40" spans="1:38" x14ac:dyDescent="0.3">
      <c r="A40" s="34"/>
      <c r="B40" s="55"/>
      <c r="C40" s="79"/>
      <c r="D40" s="79"/>
      <c r="E40" s="79"/>
      <c r="F40" s="79"/>
      <c r="G40" s="79"/>
      <c r="H40" s="79"/>
      <c r="I40" s="57"/>
      <c r="J40" s="57"/>
      <c r="K40" s="587">
        <f>+K36-K38</f>
        <v>0</v>
      </c>
      <c r="L40" s="59"/>
      <c r="M40" s="59"/>
      <c r="N40" s="59"/>
      <c r="O40" s="59"/>
      <c r="P40" s="59"/>
      <c r="Q40" s="59"/>
      <c r="R40" s="577"/>
      <c r="S40" s="577"/>
    </row>
    <row r="41" spans="1:38" x14ac:dyDescent="0.3">
      <c r="A41" s="34"/>
      <c r="B41" s="55"/>
      <c r="C41" s="79"/>
      <c r="D41" s="79"/>
      <c r="E41" s="79"/>
      <c r="F41" s="79"/>
      <c r="G41" s="79"/>
      <c r="H41" s="79"/>
      <c r="I41" s="57"/>
      <c r="J41" s="57"/>
      <c r="K41" s="55"/>
      <c r="L41" s="59"/>
      <c r="M41" s="59"/>
      <c r="N41" s="59"/>
      <c r="O41" s="59"/>
      <c r="P41" s="59"/>
      <c r="Q41" s="59"/>
      <c r="R41" s="577"/>
      <c r="S41" s="577"/>
    </row>
    <row r="42" spans="1:38" x14ac:dyDescent="0.3">
      <c r="A42" s="34"/>
      <c r="B42" s="55"/>
      <c r="C42" s="79"/>
      <c r="D42" s="79"/>
      <c r="E42" s="79"/>
      <c r="F42" s="79"/>
      <c r="G42" s="79"/>
      <c r="H42" s="79"/>
      <c r="I42" s="57"/>
      <c r="J42" s="57"/>
      <c r="K42" s="55"/>
      <c r="L42" s="59"/>
      <c r="M42" s="59"/>
      <c r="N42" s="59"/>
      <c r="O42" s="59"/>
      <c r="P42" s="59"/>
      <c r="Q42" s="59"/>
      <c r="R42" s="577"/>
      <c r="S42" s="577"/>
    </row>
    <row r="43" spans="1:38" x14ac:dyDescent="0.3">
      <c r="A43" s="34"/>
      <c r="B43" s="77"/>
      <c r="C43" s="78"/>
      <c r="D43" s="78"/>
      <c r="E43" s="79"/>
      <c r="F43" s="79"/>
      <c r="G43" s="79"/>
      <c r="H43" s="79"/>
      <c r="I43" s="57"/>
      <c r="J43" s="57"/>
      <c r="K43" s="55"/>
      <c r="L43" s="59"/>
      <c r="M43" s="59"/>
      <c r="N43" s="59"/>
      <c r="O43" s="59"/>
      <c r="P43" s="59"/>
      <c r="Q43" s="59"/>
      <c r="R43" s="577"/>
      <c r="S43" s="577"/>
    </row>
    <row r="44" spans="1:38" x14ac:dyDescent="0.3">
      <c r="A44" s="34"/>
      <c r="B44" s="77"/>
      <c r="C44" s="78"/>
      <c r="D44" s="78"/>
      <c r="E44" s="79"/>
      <c r="F44" s="79"/>
      <c r="G44" s="79"/>
      <c r="H44" s="79"/>
      <c r="I44" s="57"/>
      <c r="J44" s="57"/>
      <c r="K44" s="55"/>
      <c r="L44" s="59"/>
      <c r="M44" s="59"/>
      <c r="N44" s="59"/>
      <c r="O44" s="59"/>
      <c r="P44" s="59"/>
      <c r="Q44" s="59"/>
      <c r="R44" s="577"/>
      <c r="S44" s="577"/>
    </row>
    <row r="45" spans="1:38" x14ac:dyDescent="0.3">
      <c r="A45" s="34"/>
      <c r="B45" s="77"/>
      <c r="C45" s="78"/>
      <c r="D45" s="78"/>
      <c r="E45" s="79"/>
      <c r="F45" s="79"/>
      <c r="G45" s="79"/>
      <c r="H45" s="79"/>
      <c r="I45" s="57"/>
      <c r="J45" s="57"/>
      <c r="K45" s="55"/>
      <c r="L45" s="59"/>
      <c r="M45" s="59"/>
      <c r="N45" s="59"/>
      <c r="O45" s="59"/>
      <c r="P45" s="59"/>
      <c r="Q45" s="59"/>
      <c r="R45" s="577"/>
      <c r="S45" s="577"/>
    </row>
    <row r="46" spans="1:38" x14ac:dyDescent="0.3">
      <c r="A46" s="34"/>
      <c r="B46" s="77"/>
      <c r="C46" s="78"/>
      <c r="D46" s="78"/>
      <c r="E46" s="79"/>
      <c r="F46" s="79"/>
      <c r="G46" s="79"/>
      <c r="H46" s="79"/>
      <c r="I46" s="57"/>
      <c r="J46" s="57"/>
      <c r="K46" s="55"/>
      <c r="L46" s="59"/>
      <c r="M46" s="59"/>
      <c r="N46" s="59"/>
      <c r="O46" s="59"/>
      <c r="P46" s="59"/>
      <c r="Q46" s="59"/>
      <c r="R46" s="577"/>
      <c r="S46" s="577"/>
    </row>
    <row r="47" spans="1:38" x14ac:dyDescent="0.3">
      <c r="A47" s="34"/>
      <c r="B47" s="81"/>
      <c r="C47" s="45"/>
      <c r="D47" s="85"/>
      <c r="E47" s="78"/>
      <c r="F47" s="78"/>
      <c r="G47" s="78"/>
      <c r="H47" s="78"/>
      <c r="I47" s="292"/>
      <c r="J47" s="292"/>
      <c r="K47" s="81"/>
      <c r="L47" s="47"/>
      <c r="M47" s="47"/>
      <c r="N47" s="57"/>
      <c r="O47" s="57"/>
      <c r="P47" s="57"/>
      <c r="Q47" s="57"/>
      <c r="R47" s="577"/>
      <c r="S47" s="577"/>
    </row>
    <row r="48" spans="1:38" x14ac:dyDescent="0.3">
      <c r="A48" s="34"/>
      <c r="B48" s="77"/>
      <c r="C48" s="78"/>
      <c r="D48" s="78"/>
      <c r="E48" s="79"/>
      <c r="F48" s="79"/>
      <c r="G48" s="79"/>
      <c r="H48" s="79"/>
      <c r="I48" s="57"/>
      <c r="J48" s="57"/>
      <c r="K48" s="77"/>
      <c r="L48" s="57"/>
      <c r="M48" s="57"/>
      <c r="N48" s="59"/>
      <c r="O48" s="59"/>
      <c r="P48" s="59"/>
      <c r="Q48" s="59"/>
      <c r="R48" s="577"/>
      <c r="S48" s="577"/>
    </row>
    <row r="49" spans="1:19" x14ac:dyDescent="0.3">
      <c r="A49" s="82"/>
      <c r="B49" s="83"/>
      <c r="C49" s="63"/>
      <c r="D49" s="63"/>
      <c r="E49" s="79"/>
      <c r="F49" s="79"/>
      <c r="G49" s="79"/>
      <c r="H49" s="79"/>
      <c r="I49" s="292"/>
      <c r="J49" s="292"/>
      <c r="K49" s="50"/>
      <c r="L49" s="74"/>
      <c r="M49" s="74"/>
      <c r="N49" s="59"/>
      <c r="O49" s="59"/>
      <c r="P49" s="59"/>
      <c r="Q49" s="59"/>
      <c r="R49" s="292"/>
      <c r="S49" s="292"/>
    </row>
    <row r="50" spans="1:19" x14ac:dyDescent="0.3">
      <c r="A50" s="82"/>
      <c r="B50" s="81"/>
      <c r="C50" s="85"/>
      <c r="D50" s="85"/>
      <c r="E50" s="79"/>
      <c r="F50" s="79"/>
      <c r="G50" s="79"/>
      <c r="H50" s="79"/>
      <c r="I50" s="292"/>
      <c r="J50" s="292"/>
      <c r="K50" s="81"/>
      <c r="L50" s="85"/>
      <c r="M50" s="85"/>
      <c r="N50" s="59"/>
      <c r="O50" s="59"/>
      <c r="P50" s="59"/>
      <c r="Q50" s="59"/>
      <c r="R50" s="292"/>
      <c r="S50" s="292"/>
    </row>
    <row r="51" spans="1:19" x14ac:dyDescent="0.3">
      <c r="A51" s="46"/>
      <c r="B51" s="46"/>
      <c r="C51" s="46"/>
      <c r="D51" s="84"/>
      <c r="E51" s="46"/>
      <c r="F51" s="84"/>
      <c r="G51" s="46"/>
      <c r="H51" s="84"/>
      <c r="I51" s="292"/>
      <c r="J51" s="292"/>
      <c r="K51" s="46"/>
      <c r="L51" s="46"/>
      <c r="M51" s="84"/>
      <c r="N51" s="46"/>
      <c r="O51" s="84"/>
      <c r="P51" s="46"/>
      <c r="Q51" s="84"/>
      <c r="R51" s="292"/>
      <c r="S51" s="292"/>
    </row>
    <row r="52" spans="1:19" x14ac:dyDescent="0.3">
      <c r="A52" s="46"/>
      <c r="B52" s="46"/>
      <c r="C52" s="46"/>
      <c r="D52" s="84"/>
      <c r="E52" s="46"/>
      <c r="F52" s="84"/>
      <c r="G52" s="46"/>
      <c r="H52" s="84"/>
      <c r="I52" s="292"/>
      <c r="J52" s="292"/>
      <c r="K52" s="46"/>
      <c r="L52" s="46"/>
      <c r="M52" s="84"/>
      <c r="N52" s="46"/>
      <c r="O52" s="84"/>
      <c r="P52" s="46"/>
      <c r="Q52" s="84"/>
      <c r="R52" s="292"/>
      <c r="S52" s="292"/>
    </row>
  </sheetData>
  <mergeCells count="6">
    <mergeCell ref="E2:L2"/>
    <mergeCell ref="X2:AD2"/>
    <mergeCell ref="P3:R3"/>
    <mergeCell ref="AI3:AK3"/>
    <mergeCell ref="AJ1:AL2"/>
    <mergeCell ref="Q1:S2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71" orientation="landscape" r:id="rId1"/>
  <headerFooter alignWithMargins="0">
    <oddFooter xml:space="preserve">&amp;R
</oddFooter>
  </headerFooter>
  <colBreaks count="1" manualBreakCount="1">
    <brk id="1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12</vt:i4>
      </vt:variant>
    </vt:vector>
  </HeadingPairs>
  <TitlesOfParts>
    <vt:vector size="27" baseType="lpstr">
      <vt:lpstr>2020. 1.bevkiadfőössz. </vt:lpstr>
      <vt:lpstr>2. önkorm.bevkiad</vt:lpstr>
      <vt:lpstr>3-10 önálló int.be-ki.</vt:lpstr>
      <vt:lpstr>11-12.tartalék.köt.köt.részl.</vt:lpstr>
      <vt:lpstr>13. többéves kötváll</vt:lpstr>
      <vt:lpstr>14-16.pe.átad.közv.tám.szoc. j</vt:lpstr>
      <vt:lpstr>17.eng.létszámkeret</vt:lpstr>
      <vt:lpstr>18.EUS pályázat</vt:lpstr>
      <vt:lpstr>19.-20.mérleg</vt:lpstr>
      <vt:lpstr>21.bev ütemterv</vt:lpstr>
      <vt:lpstr>22.kiadási ütemterv</vt:lpstr>
      <vt:lpstr>23. beruházások</vt:lpstr>
      <vt:lpstr>Munka1</vt:lpstr>
      <vt:lpstr>24. COFOG</vt:lpstr>
      <vt:lpstr>25. többéves kihatás</vt:lpstr>
      <vt:lpstr>'11-12.tartalék.köt.köt.részl.'!Nyomtatási_terület</vt:lpstr>
      <vt:lpstr>'13. többéves kötváll'!Nyomtatási_terület</vt:lpstr>
      <vt:lpstr>'14-16.pe.átad.közv.tám.szoc. j'!Nyomtatási_terület</vt:lpstr>
      <vt:lpstr>'18.EUS pályázat'!Nyomtatási_terület</vt:lpstr>
      <vt:lpstr>'19.-20.mérleg'!Nyomtatási_terület</vt:lpstr>
      <vt:lpstr>'2. önkorm.bevkiad'!Nyomtatási_terület</vt:lpstr>
      <vt:lpstr>'2020. 1.bevkiadfőössz. '!Nyomtatási_terület</vt:lpstr>
      <vt:lpstr>'21.bev ütemterv'!Nyomtatási_terület</vt:lpstr>
      <vt:lpstr>'22.kiadási ütemterv'!Nyomtatási_terület</vt:lpstr>
      <vt:lpstr>'23. beruházások'!Nyomtatási_terület</vt:lpstr>
      <vt:lpstr>'24. COFOG'!Nyomtatási_terület</vt:lpstr>
      <vt:lpstr>'3-10 önálló int.be-ki.'!Nyomtatási_terület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Cserép Zsolt</cp:lastModifiedBy>
  <cp:lastPrinted>2020-07-27T12:20:42Z</cp:lastPrinted>
  <dcterms:created xsi:type="dcterms:W3CDTF">2012-02-02T18:37:10Z</dcterms:created>
  <dcterms:modified xsi:type="dcterms:W3CDTF">2020-07-27T12:49:08Z</dcterms:modified>
</cp:coreProperties>
</file>